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bweber\Desktop\"/>
    </mc:Choice>
  </mc:AlternateContent>
  <xr:revisionPtr revIDLastSave="0" documentId="13_ncr:1_{AD5BD74D-35F8-4EBB-80D2-CAB6C08360D3}" xr6:coauthVersionLast="34" xr6:coauthVersionMax="34" xr10:uidLastSave="{00000000-0000-0000-0000-000000000000}"/>
  <bookViews>
    <workbookView xWindow="0" yWindow="0" windowWidth="28800" windowHeight="10800" xr2:uid="{00000000-000D-0000-FFFF-FFFF00000000}"/>
  </bookViews>
  <sheets>
    <sheet name="Debt Service" sheetId="1" r:id="rId1"/>
    <sheet name="re-work at 6.75%" sheetId="2" r:id="rId2"/>
  </sheets>
  <definedNames>
    <definedName name="_xlnm.Print_Area" localSheetId="0">'Debt Service'!$A$1:$I$37</definedName>
    <definedName name="_xlnm.Print_Area" localSheetId="1">'re-work at 6.75%'!$A$1:$H$41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E9" i="1"/>
  <c r="C9" i="1"/>
  <c r="D9" i="1" s="1"/>
  <c r="H13" i="1"/>
  <c r="G13" i="1"/>
  <c r="F13" i="1"/>
  <c r="E13" i="1"/>
  <c r="D13" i="1"/>
  <c r="C13" i="1"/>
  <c r="H36" i="2" l="1"/>
  <c r="D36" i="2"/>
  <c r="C36" i="2"/>
  <c r="B36" i="2"/>
  <c r="A24" i="2"/>
  <c r="A26" i="2" s="1"/>
  <c r="A28" i="2" s="1"/>
  <c r="A30" i="2" s="1"/>
  <c r="A32" i="2" s="1"/>
  <c r="A34" i="2" s="1"/>
  <c r="A23" i="2"/>
  <c r="A25" i="2" s="1"/>
  <c r="A27" i="2" s="1"/>
  <c r="A29" i="2" s="1"/>
  <c r="A31" i="2" s="1"/>
  <c r="A33" i="2" s="1"/>
  <c r="G22" i="2"/>
  <c r="G21" i="2"/>
  <c r="G20" i="2"/>
  <c r="G19" i="2"/>
  <c r="G18" i="2"/>
  <c r="G17" i="2"/>
  <c r="G16" i="2"/>
  <c r="G15" i="2"/>
  <c r="G14" i="2"/>
  <c r="G36" i="2" s="1"/>
  <c r="E11" i="2"/>
  <c r="K10" i="2"/>
  <c r="F10" i="2"/>
  <c r="J10" i="2" s="1"/>
  <c r="I29" i="1"/>
  <c r="H29" i="1"/>
  <c r="G29" i="1"/>
  <c r="F29" i="1"/>
  <c r="E29" i="1"/>
  <c r="D29" i="1"/>
  <c r="C29" i="1"/>
  <c r="B29" i="1"/>
  <c r="I11" i="1"/>
  <c r="I14" i="1" s="1"/>
  <c r="I33" i="1" s="1"/>
  <c r="D11" i="1"/>
  <c r="D14" i="1" s="1"/>
  <c r="D33" i="1" s="1"/>
  <c r="C11" i="1"/>
  <c r="C14" i="1" s="1"/>
  <c r="C33" i="1" s="1"/>
  <c r="B11" i="1"/>
  <c r="B14" i="1" s="1"/>
  <c r="B33" i="1" l="1"/>
  <c r="B36" i="1" s="1"/>
  <c r="C35" i="1" s="1"/>
  <c r="C36" i="1" s="1"/>
  <c r="D35" i="1" s="1"/>
  <c r="D36" i="1" s="1"/>
  <c r="F11" i="2"/>
  <c r="K11" i="2"/>
  <c r="E12" i="2" l="1"/>
  <c r="J11" i="2"/>
  <c r="F12" i="2"/>
  <c r="E13" i="2" l="1"/>
  <c r="F13" i="2"/>
  <c r="K13" i="2"/>
  <c r="K12" i="2"/>
  <c r="J12" i="2" s="1"/>
  <c r="E11" i="1" l="1"/>
  <c r="E14" i="1" s="1"/>
  <c r="E33" i="1" s="1"/>
  <c r="E36" i="1" s="1"/>
  <c r="E38" i="1" s="1"/>
  <c r="F9" i="1" s="1"/>
  <c r="E14" i="2"/>
  <c r="J13" i="2"/>
  <c r="F14" i="2"/>
  <c r="I36" i="1" l="1"/>
  <c r="I38" i="1" s="1"/>
  <c r="E15" i="2"/>
  <c r="K14" i="2"/>
  <c r="J14" i="2" s="1"/>
  <c r="K15" i="2"/>
  <c r="F11" i="1" l="1"/>
  <c r="F14" i="1" s="1"/>
  <c r="F33" i="1" s="1"/>
  <c r="F36" i="1" s="1"/>
  <c r="F38" i="1" s="1"/>
  <c r="G9" i="1" s="1"/>
  <c r="F15" i="2"/>
  <c r="G11" i="1" l="1"/>
  <c r="G14" i="1" s="1"/>
  <c r="G33" i="1" s="1"/>
  <c r="G36" i="1" s="1"/>
  <c r="G38" i="1" s="1"/>
  <c r="H11" i="1" s="1"/>
  <c r="H14" i="1" s="1"/>
  <c r="H33" i="1" s="1"/>
  <c r="H36" i="1" s="1"/>
  <c r="H38" i="1" s="1"/>
  <c r="J15" i="2"/>
  <c r="E16" i="2"/>
  <c r="K16" i="2" l="1"/>
  <c r="F16" i="2"/>
  <c r="F17" i="2" l="1"/>
  <c r="E17" i="2"/>
  <c r="J16" i="2"/>
  <c r="K18" i="2" l="1"/>
  <c r="K17" i="2"/>
  <c r="E18" i="2"/>
  <c r="J17" i="2"/>
  <c r="F18" i="2"/>
  <c r="J18" i="2" l="1"/>
  <c r="E19" i="2"/>
  <c r="K19" i="2" s="1"/>
  <c r="F19" i="2" l="1"/>
  <c r="J19" i="2" l="1"/>
  <c r="F20" i="2"/>
  <c r="E20" i="2"/>
  <c r="K20" i="2" s="1"/>
  <c r="F21" i="2" l="1"/>
  <c r="E21" i="2"/>
  <c r="K21" i="2" s="1"/>
  <c r="J20" i="2"/>
  <c r="E22" i="2" l="1"/>
  <c r="K22" i="2" s="1"/>
  <c r="J21" i="2"/>
  <c r="F22" i="2"/>
  <c r="F23" i="2" l="1"/>
  <c r="E23" i="2"/>
  <c r="K23" i="2" s="1"/>
  <c r="J23" i="2" l="1"/>
  <c r="E24" i="2"/>
  <c r="K24" i="2" s="1"/>
  <c r="F24" i="2" l="1"/>
  <c r="J24" i="2" l="1"/>
  <c r="E25" i="2"/>
  <c r="K25" i="2" s="1"/>
  <c r="F25" i="2" l="1"/>
  <c r="J25" i="2" l="1"/>
  <c r="E26" i="2"/>
  <c r="K26" i="2" s="1"/>
  <c r="F26" i="2" l="1"/>
  <c r="E27" i="2" l="1"/>
  <c r="K27" i="2" s="1"/>
  <c r="F27" i="2"/>
  <c r="J26" i="2"/>
  <c r="J27" i="2" l="1"/>
  <c r="E28" i="2"/>
  <c r="K28" i="2" s="1"/>
  <c r="F28" i="2" l="1"/>
  <c r="J28" i="2" l="1"/>
  <c r="E29" i="2"/>
  <c r="K29" i="2" s="1"/>
  <c r="F29" i="2" l="1"/>
  <c r="F30" i="2" l="1"/>
  <c r="J29" i="2"/>
  <c r="E30" i="2"/>
  <c r="K30" i="2" s="1"/>
  <c r="E31" i="2" l="1"/>
  <c r="K31" i="2" s="1"/>
  <c r="F31" i="2"/>
  <c r="J30" i="2"/>
  <c r="J31" i="2" l="1"/>
  <c r="E32" i="2"/>
  <c r="K32" i="2" s="1"/>
  <c r="F32" i="2" l="1"/>
  <c r="J32" i="2" l="1"/>
  <c r="E33" i="2"/>
  <c r="K33" i="2" s="1"/>
  <c r="F33" i="2" l="1"/>
  <c r="J33" i="2" l="1"/>
  <c r="E34" i="2"/>
  <c r="E36" i="2" l="1"/>
  <c r="K34" i="2"/>
  <c r="F34" i="2"/>
  <c r="J34" i="2" s="1"/>
</calcChain>
</file>

<file path=xl/sharedStrings.xml><?xml version="1.0" encoding="utf-8"?>
<sst xmlns="http://schemas.openxmlformats.org/spreadsheetml/2006/main" count="78" uniqueCount="68">
  <si>
    <t>2018</t>
  </si>
  <si>
    <t>2019</t>
  </si>
  <si>
    <t>2020</t>
  </si>
  <si>
    <t>2021</t>
  </si>
  <si>
    <t>2022</t>
  </si>
  <si>
    <t>2023</t>
  </si>
  <si>
    <t>2024</t>
  </si>
  <si>
    <t>2025</t>
  </si>
  <si>
    <t>PA Infrastructure Bank loan - principal</t>
  </si>
  <si>
    <t>PA Infrastructure Bank loan - interest</t>
  </si>
  <si>
    <t>HRA Revenue Bonds-Series A of 1998</t>
  </si>
  <si>
    <t xml:space="preserve"> (specified minimum City contribution)</t>
  </si>
  <si>
    <t>HRA Revenue Bonds-Series A-2 of 2005</t>
  </si>
  <si>
    <t xml:space="preserve"> (stadium improvement bonds-FNB Park)</t>
  </si>
  <si>
    <t>M&amp;T Bank - streetlight LED proj - principal</t>
  </si>
  <si>
    <t>M&amp;T Bank - streetlight LED proj - interest</t>
  </si>
  <si>
    <t>Totals</t>
  </si>
  <si>
    <t>Baseline Cash Projection Schedule</t>
  </si>
  <si>
    <t>Projected</t>
  </si>
  <si>
    <t>Revenue</t>
  </si>
  <si>
    <t>Minus Act 47 Revenues</t>
  </si>
  <si>
    <t>Baseline</t>
  </si>
  <si>
    <t>Net Income Available for Debt Service</t>
  </si>
  <si>
    <t>Debt Service</t>
  </si>
  <si>
    <t>Total Debt Service</t>
  </si>
  <si>
    <t>Surplus/Deficit</t>
  </si>
  <si>
    <t>Beg Fund Balance</t>
  </si>
  <si>
    <t>End Fund Balance</t>
  </si>
  <si>
    <t>1997 GO Debt - Series DF (2022 Payment Escrow)</t>
  </si>
  <si>
    <t>COH</t>
  </si>
  <si>
    <t>SCHEDULE OF BOND INSURER (AMBAC) ACTIVITY - GO BONDS/NOTES, SERIES OF 1997</t>
  </si>
  <si>
    <t>(stated settlement agreement interest rate of 6.75%)</t>
  </si>
  <si>
    <t>Ambac</t>
  </si>
  <si>
    <t>City</t>
  </si>
  <si>
    <t>Calculated</t>
  </si>
  <si>
    <t>Remaining</t>
  </si>
  <si>
    <t>Principal</t>
  </si>
  <si>
    <t>Interest</t>
  </si>
  <si>
    <t>Date</t>
  </si>
  <si>
    <t>Advance</t>
  </si>
  <si>
    <t>Legal</t>
  </si>
  <si>
    <t>Re-payment</t>
  </si>
  <si>
    <t>Balance</t>
  </si>
  <si>
    <t>Paymt Portion</t>
  </si>
  <si>
    <t>Principal Balance</t>
  </si>
  <si>
    <t>Interest Balance</t>
  </si>
  <si>
    <t>3/15/12</t>
  </si>
  <si>
    <t>9/15/12</t>
  </si>
  <si>
    <t>3/15/13</t>
  </si>
  <si>
    <t>9/15/13</t>
  </si>
  <si>
    <t>12/23/13</t>
  </si>
  <si>
    <t>3/15/14</t>
  </si>
  <si>
    <t>9/15/14</t>
  </si>
  <si>
    <t>3/15/15</t>
  </si>
  <si>
    <t>9/15/15</t>
  </si>
  <si>
    <t>3/15/16</t>
  </si>
  <si>
    <t>9/15/16</t>
  </si>
  <si>
    <t>3/15/17</t>
  </si>
  <si>
    <t>9/15/17</t>
  </si>
  <si>
    <t>Note:  above unpaid balance @ 9/15/17 would be comprised of 15,328,193.44 in principal and 5,027,825.05 in interest</t>
  </si>
  <si>
    <t>1997 GO Debt - Series DF (w/ full advance)</t>
  </si>
  <si>
    <t>1997 GO Debt - Series DF (no advance)</t>
  </si>
  <si>
    <t xml:space="preserve">1997 GO Debt - Series DF repay Amabac advance </t>
  </si>
  <si>
    <t>Cap-Ex</t>
  </si>
  <si>
    <t xml:space="preserve">Amount needed to maintain $5mm fund balance </t>
  </si>
  <si>
    <t>Estimated % increase in real estate taxes to maintain EOY $5mm fund balance</t>
  </si>
  <si>
    <t>Baseline Expenses Prior to Debt Service (operating)</t>
  </si>
  <si>
    <t>(this amortization schedule is a guessimate)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</si>
</sst>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m/d/yy"/>
    <numFmt numFmtId="167" formatCode="_(&quot;$&quot;* #,##0_);_(&quot;$&quot;* \(#,##0\);_(&quot;$&quot;* &quot;-&quot;??_);_(@_)"/>
    <numFmt numFmtId="168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0"/>
      <name val="Sylfaen"/>
      <family val="1"/>
    </font>
    <font>
      <sz val="10"/>
      <name val="Sylfaen"/>
      <family val="1"/>
    </font>
    <font>
      <u/>
      <sz val="10"/>
      <name val="Sylfaen"/>
      <family val="1"/>
    </font>
    <font>
      <b/>
      <sz val="10"/>
      <name val="Sylfaen"/>
      <family val="1"/>
    </font>
    <font>
      <i/>
      <sz val="10"/>
      <name val="Sylfaen"/>
      <family val="1"/>
    </font>
    <font>
      <b/>
      <sz val="16"/>
      <color theme="0"/>
      <name val="Sylfaen"/>
      <family val="1"/>
    </font>
    <font>
      <sz val="10"/>
      <color theme="1"/>
      <name val="Sylfaen"/>
      <family val="1"/>
    </font>
    <font>
      <b/>
      <sz val="11"/>
      <name val="Sylfaen"/>
      <family val="1"/>
    </font>
    <font>
      <i/>
      <sz val="10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8E1D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3">
    <xf numFmtId="0" fontId="0" fillId="0" borderId="0" xfId="0"/>
    <xf numFmtId="49" fontId="2" fillId="0" borderId="0" xfId="1" applyNumberFormat="1" applyFont="1"/>
    <xf numFmtId="0" fontId="1" fillId="0" borderId="0" xfId="1"/>
    <xf numFmtId="49" fontId="1" fillId="0" borderId="0" xfId="1" applyNumberFormat="1" applyAlignment="1">
      <alignment horizontal="center"/>
    </xf>
    <xf numFmtId="49" fontId="3" fillId="0" borderId="0" xfId="1" applyNumberFormat="1" applyFont="1" applyAlignment="1">
      <alignment horizontal="center"/>
    </xf>
    <xf numFmtId="0" fontId="1" fillId="0" borderId="0" xfId="1" applyFont="1"/>
    <xf numFmtId="43" fontId="2" fillId="0" borderId="0" xfId="2" applyFont="1"/>
    <xf numFmtId="43" fontId="0" fillId="0" borderId="0" xfId="2" applyFont="1"/>
    <xf numFmtId="49" fontId="5" fillId="3" borderId="0" xfId="1" applyNumberFormat="1" applyFont="1" applyFill="1"/>
    <xf numFmtId="0" fontId="5" fillId="3" borderId="0" xfId="1" applyFont="1" applyFill="1"/>
    <xf numFmtId="0" fontId="5" fillId="3" borderId="0" xfId="0" applyFont="1" applyFill="1"/>
    <xf numFmtId="49" fontId="6" fillId="0" borderId="0" xfId="1" applyNumberFormat="1" applyFont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left"/>
    </xf>
    <xf numFmtId="0" fontId="6" fillId="0" borderId="1" xfId="1" applyFont="1" applyBorder="1" applyAlignment="1">
      <alignment horizontal="left"/>
    </xf>
    <xf numFmtId="0" fontId="8" fillId="0" borderId="0" xfId="1" applyFont="1" applyAlignment="1">
      <alignment horizontal="left"/>
    </xf>
    <xf numFmtId="0" fontId="6" fillId="0" borderId="0" xfId="1" applyFont="1" applyBorder="1" applyAlignment="1">
      <alignment horizontal="left"/>
    </xf>
    <xf numFmtId="49" fontId="7" fillId="4" borderId="0" xfId="1" applyNumberFormat="1" applyFont="1" applyFill="1" applyAlignment="1">
      <alignment horizontal="center"/>
    </xf>
    <xf numFmtId="49" fontId="12" fillId="4" borderId="0" xfId="1" applyNumberFormat="1" applyFont="1" applyFill="1" applyAlignment="1">
      <alignment horizontal="right"/>
    </xf>
    <xf numFmtId="0" fontId="7" fillId="0" borderId="0" xfId="1" applyFont="1" applyAlignment="1">
      <alignment horizontal="left"/>
    </xf>
    <xf numFmtId="0" fontId="1" fillId="0" borderId="0" xfId="1" applyFont="1" applyBorder="1"/>
    <xf numFmtId="0" fontId="9" fillId="0" borderId="0" xfId="1" applyFont="1" applyBorder="1" applyAlignment="1">
      <alignment horizontal="left"/>
    </xf>
    <xf numFmtId="43" fontId="1" fillId="0" borderId="0" xfId="2"/>
    <xf numFmtId="43" fontId="1" fillId="0" borderId="0" xfId="1" applyNumberFormat="1"/>
    <xf numFmtId="43" fontId="1" fillId="0" borderId="0" xfId="2" applyFill="1"/>
    <xf numFmtId="43" fontId="1" fillId="5" borderId="0" xfId="2" applyFill="1"/>
    <xf numFmtId="165" fontId="1" fillId="0" borderId="0" xfId="1" applyNumberFormat="1" applyFont="1" applyFill="1" applyAlignment="1">
      <alignment horizontal="center"/>
    </xf>
    <xf numFmtId="43" fontId="2" fillId="0" borderId="0" xfId="2" applyFont="1" applyFill="1"/>
    <xf numFmtId="43" fontId="0" fillId="0" borderId="0" xfId="2" applyFont="1" applyFill="1"/>
    <xf numFmtId="0" fontId="1" fillId="0" borderId="0" xfId="1" applyFill="1"/>
    <xf numFmtId="49" fontId="1" fillId="0" borderId="0" xfId="1" applyNumberFormat="1" applyAlignment="1"/>
    <xf numFmtId="0" fontId="10" fillId="3" borderId="0" xfId="1" applyFont="1" applyFill="1" applyAlignment="1">
      <alignment horizontal="right" vertical="center"/>
    </xf>
    <xf numFmtId="0" fontId="6" fillId="0" borderId="0" xfId="1" applyFont="1" applyBorder="1"/>
    <xf numFmtId="167" fontId="6" fillId="0" borderId="0" xfId="3" applyNumberFormat="1" applyFont="1"/>
    <xf numFmtId="167" fontId="6" fillId="2" borderId="0" xfId="3" applyNumberFormat="1" applyFont="1" applyFill="1"/>
    <xf numFmtId="167" fontId="6" fillId="0" borderId="1" xfId="3" applyNumberFormat="1" applyFont="1" applyBorder="1"/>
    <xf numFmtId="167" fontId="6" fillId="2" borderId="1" xfId="3" applyNumberFormat="1" applyFont="1" applyFill="1" applyBorder="1"/>
    <xf numFmtId="167" fontId="8" fillId="0" borderId="0" xfId="3" applyNumberFormat="1" applyFont="1"/>
    <xf numFmtId="167" fontId="8" fillId="2" borderId="0" xfId="3" applyNumberFormat="1" applyFont="1" applyFill="1"/>
    <xf numFmtId="167" fontId="6" fillId="0" borderId="0" xfId="3" applyNumberFormat="1" applyFont="1" applyBorder="1"/>
    <xf numFmtId="167" fontId="11" fillId="0" borderId="0" xfId="3" applyNumberFormat="1" applyFont="1" applyBorder="1"/>
    <xf numFmtId="167" fontId="11" fillId="2" borderId="0" xfId="3" applyNumberFormat="1" applyFont="1" applyFill="1" applyBorder="1"/>
    <xf numFmtId="167" fontId="13" fillId="0" borderId="0" xfId="3" applyNumberFormat="1" applyFont="1" applyBorder="1"/>
    <xf numFmtId="167" fontId="11" fillId="0" borderId="0" xfId="3" applyNumberFormat="1" applyFont="1"/>
    <xf numFmtId="167" fontId="11" fillId="2" borderId="0" xfId="3" applyNumberFormat="1" applyFont="1" applyFill="1"/>
    <xf numFmtId="167" fontId="11" fillId="0" borderId="1" xfId="3" applyNumberFormat="1" applyFont="1" applyBorder="1"/>
    <xf numFmtId="167" fontId="11" fillId="2" borderId="1" xfId="3" applyNumberFormat="1" applyFont="1" applyFill="1" applyBorder="1"/>
    <xf numFmtId="0" fontId="8" fillId="0" borderId="0" xfId="1" applyFont="1"/>
    <xf numFmtId="0" fontId="2" fillId="0" borderId="0" xfId="1" applyFont="1"/>
    <xf numFmtId="168" fontId="8" fillId="0" borderId="0" xfId="1" applyNumberFormat="1" applyFont="1"/>
    <xf numFmtId="168" fontId="8" fillId="0" borderId="0" xfId="4" applyNumberFormat="1" applyFont="1"/>
    <xf numFmtId="49" fontId="12" fillId="6" borderId="0" xfId="1" applyNumberFormat="1" applyFont="1" applyFill="1" applyAlignment="1">
      <alignment horizontal="right"/>
    </xf>
    <xf numFmtId="167" fontId="6" fillId="0" borderId="0" xfId="3" applyNumberFormat="1" applyFont="1" applyFill="1"/>
  </cellXfs>
  <cellStyles count="5">
    <cellStyle name="Comma 2" xfId="2" xr:uid="{00000000-0005-0000-0000-000001000000}"/>
    <cellStyle name="Currency" xfId="3" builtinId="4"/>
    <cellStyle name="Normal" xfId="0" builtinId="0"/>
    <cellStyle name="Normal 10" xfId="1" xr:uid="{00000000-0005-0000-0000-000003000000}"/>
    <cellStyle name="Percent" xfId="4" builtinId="5"/>
  </cellStyles>
  <dxfs count="0"/>
  <tableStyles count="0" defaultTableStyle="TableStyleMedium2" defaultPivotStyle="PivotStyleLight16"/>
  <colors>
    <mruColors>
      <color rgb="FFE8E1D4"/>
      <color rgb="FFE3DBCB"/>
      <color rgb="FFC6B5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41DB2.0C5DB90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1247775</xdr:colOff>
      <xdr:row>4</xdr:row>
      <xdr:rowOff>5494</xdr:rowOff>
    </xdr:to>
    <xdr:pic>
      <xdr:nvPicPr>
        <xdr:cNvPr id="3" name="Picture 1" descr="cid:image001.jpg@01D41DB2.0C5DB9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0" r="88967" b="86124"/>
        <a:stretch/>
      </xdr:blipFill>
      <xdr:spPr bwMode="auto">
        <a:xfrm>
          <a:off x="0" y="0"/>
          <a:ext cx="1247775" cy="1110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showGridLines="0" tabSelected="1" workbookViewId="0">
      <selection activeCell="K32" sqref="K32"/>
    </sheetView>
  </sheetViews>
  <sheetFormatPr defaultColWidth="8.85546875" defaultRowHeight="15" x14ac:dyDescent="0.3"/>
  <cols>
    <col min="1" max="1" width="47.85546875" style="12" customWidth="1"/>
    <col min="2" max="2" width="17.7109375" style="12" bestFit="1" customWidth="1"/>
    <col min="3" max="5" width="16.85546875" style="12" bestFit="1" customWidth="1"/>
    <col min="6" max="8" width="17.7109375" style="12" bestFit="1" customWidth="1"/>
    <col min="9" max="9" width="17.7109375" style="12" hidden="1" customWidth="1"/>
    <col min="10" max="16384" width="8.85546875" style="2"/>
  </cols>
  <sheetData>
    <row r="1" spans="1:9" ht="17.25" customHeight="1" x14ac:dyDescent="0.35">
      <c r="A1" s="8"/>
      <c r="B1" s="9"/>
      <c r="C1" s="9"/>
      <c r="D1" s="9"/>
      <c r="E1" s="9"/>
      <c r="F1" s="9"/>
      <c r="G1" s="9"/>
      <c r="H1" s="9"/>
      <c r="I1" s="9"/>
    </row>
    <row r="2" spans="1:9" ht="17.25" customHeight="1" x14ac:dyDescent="0.35">
      <c r="A2" s="8"/>
      <c r="B2" s="31" t="s">
        <v>17</v>
      </c>
      <c r="C2" s="31"/>
      <c r="D2" s="31"/>
      <c r="E2" s="31"/>
      <c r="F2" s="31"/>
      <c r="G2" s="31"/>
      <c r="H2" s="31"/>
      <c r="I2" s="31"/>
    </row>
    <row r="3" spans="1:9" ht="17.25" customHeight="1" x14ac:dyDescent="0.35">
      <c r="A3" s="10"/>
      <c r="B3" s="31"/>
      <c r="C3" s="31"/>
      <c r="D3" s="31"/>
      <c r="E3" s="31"/>
      <c r="F3" s="31"/>
      <c r="G3" s="31"/>
      <c r="H3" s="31"/>
      <c r="I3" s="31"/>
    </row>
    <row r="4" spans="1:9" ht="17.25" customHeight="1" x14ac:dyDescent="0.35">
      <c r="A4" s="9"/>
      <c r="B4" s="9"/>
      <c r="C4" s="9"/>
      <c r="D4" s="9"/>
      <c r="E4" s="9"/>
      <c r="F4" s="9"/>
      <c r="G4" s="9"/>
      <c r="H4" s="9"/>
      <c r="I4" s="9"/>
    </row>
    <row r="6" spans="1:9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9" ht="15.75" x14ac:dyDescent="0.3">
      <c r="A7" s="17"/>
      <c r="B7" s="18" t="s">
        <v>18</v>
      </c>
      <c r="C7" s="18" t="s">
        <v>18</v>
      </c>
      <c r="D7" s="18" t="s">
        <v>18</v>
      </c>
      <c r="E7" s="18" t="s">
        <v>18</v>
      </c>
      <c r="F7" s="51" t="s">
        <v>18</v>
      </c>
      <c r="G7" s="18" t="s">
        <v>18</v>
      </c>
      <c r="H7" s="18" t="s">
        <v>18</v>
      </c>
      <c r="I7" s="18" t="s">
        <v>18</v>
      </c>
    </row>
    <row r="8" spans="1:9" ht="15.75" x14ac:dyDescent="0.3">
      <c r="A8" s="17"/>
      <c r="B8" s="18" t="s">
        <v>0</v>
      </c>
      <c r="C8" s="18" t="s">
        <v>1</v>
      </c>
      <c r="D8" s="18" t="s">
        <v>2</v>
      </c>
      <c r="E8" s="18" t="s">
        <v>3</v>
      </c>
      <c r="F8" s="51" t="s">
        <v>4</v>
      </c>
      <c r="G8" s="18" t="s">
        <v>5</v>
      </c>
      <c r="H8" s="18" t="s">
        <v>6</v>
      </c>
      <c r="I8" s="18" t="s">
        <v>7</v>
      </c>
    </row>
    <row r="9" spans="1:9" s="5" customFormat="1" x14ac:dyDescent="0.3">
      <c r="A9" s="13" t="s">
        <v>19</v>
      </c>
      <c r="B9" s="33">
        <v>65663000</v>
      </c>
      <c r="C9" s="33">
        <f>B9*1.01</f>
        <v>66319630</v>
      </c>
      <c r="D9" s="33">
        <f>C9*1.01</f>
        <v>66982826.299999997</v>
      </c>
      <c r="E9" s="33">
        <f>(D9*1.01)</f>
        <v>67652654.562999994</v>
      </c>
      <c r="F9" s="52">
        <f>(E9*1.01)+E38</f>
        <v>72603406.990130007</v>
      </c>
      <c r="G9" s="33">
        <f>(F9*1.01)+F38</f>
        <v>78237743.072403789</v>
      </c>
      <c r="H9" s="33">
        <f>(G9*1.01)+G38</f>
        <v>84964057.176339135</v>
      </c>
      <c r="I9" s="33">
        <v>65676765</v>
      </c>
    </row>
    <row r="10" spans="1:9" s="5" customFormat="1" x14ac:dyDescent="0.3">
      <c r="A10" s="14" t="s">
        <v>20</v>
      </c>
      <c r="B10" s="35"/>
      <c r="C10" s="35"/>
      <c r="D10" s="35"/>
      <c r="E10" s="35"/>
      <c r="F10" s="36">
        <v>-11603350</v>
      </c>
      <c r="G10" s="36">
        <v>-11603350</v>
      </c>
      <c r="H10" s="36">
        <v>-11603350</v>
      </c>
      <c r="I10" s="35">
        <v>-11694901</v>
      </c>
    </row>
    <row r="11" spans="1:9" s="5" customFormat="1" x14ac:dyDescent="0.3">
      <c r="A11" s="13" t="s">
        <v>21</v>
      </c>
      <c r="B11" s="33">
        <f>SUM(B9:B10)</f>
        <v>65663000</v>
      </c>
      <c r="C11" s="33">
        <f t="shared" ref="C11:I11" si="0">SUM(C9:C10)</f>
        <v>66319630</v>
      </c>
      <c r="D11" s="33">
        <f t="shared" si="0"/>
        <v>66982826.299999997</v>
      </c>
      <c r="E11" s="33">
        <f t="shared" si="0"/>
        <v>67652654.562999994</v>
      </c>
      <c r="F11" s="34">
        <f t="shared" si="0"/>
        <v>61000056.990130007</v>
      </c>
      <c r="G11" s="33">
        <f t="shared" si="0"/>
        <v>66634393.072403789</v>
      </c>
      <c r="H11" s="33">
        <f t="shared" si="0"/>
        <v>73360707.176339135</v>
      </c>
      <c r="I11" s="33">
        <f t="shared" si="0"/>
        <v>53981864</v>
      </c>
    </row>
    <row r="12" spans="1:9" s="5" customFormat="1" x14ac:dyDescent="0.3">
      <c r="A12" s="13"/>
      <c r="B12" s="33"/>
      <c r="C12" s="33"/>
      <c r="D12" s="33"/>
      <c r="E12" s="33"/>
      <c r="F12" s="34"/>
      <c r="G12" s="33"/>
      <c r="H12" s="33"/>
      <c r="I12" s="33"/>
    </row>
    <row r="13" spans="1:9" s="5" customFormat="1" x14ac:dyDescent="0.3">
      <c r="A13" s="14" t="s">
        <v>66</v>
      </c>
      <c r="B13" s="35">
        <v>51364000</v>
      </c>
      <c r="C13" s="35">
        <f>B13*1.045</f>
        <v>53675380</v>
      </c>
      <c r="D13" s="35">
        <f>C13*1.045</f>
        <v>56090772.099999994</v>
      </c>
      <c r="E13" s="35">
        <f>D13*1.045</f>
        <v>58614856.84449999</v>
      </c>
      <c r="F13" s="35">
        <f>E13*1.045</f>
        <v>61252525.402502485</v>
      </c>
      <c r="G13" s="35">
        <f>F13*1.045</f>
        <v>64008889.045615092</v>
      </c>
      <c r="H13" s="35">
        <f>G13*1.045</f>
        <v>66889289.052667767</v>
      </c>
      <c r="I13" s="35">
        <v>62586415</v>
      </c>
    </row>
    <row r="14" spans="1:9" s="5" customFormat="1" x14ac:dyDescent="0.3">
      <c r="A14" s="15" t="s">
        <v>22</v>
      </c>
      <c r="B14" s="37">
        <f>+B11-B13</f>
        <v>14299000</v>
      </c>
      <c r="C14" s="37">
        <f t="shared" ref="C14:I14" si="1">+C11-C13</f>
        <v>12644250</v>
      </c>
      <c r="D14" s="37">
        <f t="shared" si="1"/>
        <v>10892054.200000003</v>
      </c>
      <c r="E14" s="37">
        <f t="shared" si="1"/>
        <v>9037797.7185000032</v>
      </c>
      <c r="F14" s="38">
        <f t="shared" si="1"/>
        <v>-252468.41237247735</v>
      </c>
      <c r="G14" s="37">
        <f t="shared" si="1"/>
        <v>2625504.0267886966</v>
      </c>
      <c r="H14" s="37">
        <f t="shared" si="1"/>
        <v>6471418.1236713678</v>
      </c>
      <c r="I14" s="37">
        <f t="shared" si="1"/>
        <v>-8604551</v>
      </c>
    </row>
    <row r="15" spans="1:9" s="5" customFormat="1" x14ac:dyDescent="0.3">
      <c r="A15" s="13"/>
      <c r="B15" s="33"/>
      <c r="C15" s="33"/>
      <c r="D15" s="33"/>
      <c r="E15" s="33"/>
      <c r="F15" s="34"/>
      <c r="G15" s="33"/>
      <c r="H15" s="33"/>
      <c r="I15" s="33"/>
    </row>
    <row r="16" spans="1:9" s="5" customFormat="1" x14ac:dyDescent="0.3">
      <c r="A16" s="19" t="s">
        <v>23</v>
      </c>
      <c r="B16" s="33"/>
      <c r="C16" s="33"/>
      <c r="D16" s="33"/>
      <c r="E16" s="33"/>
      <c r="F16" s="34"/>
      <c r="G16" s="33"/>
      <c r="H16" s="33"/>
      <c r="I16" s="33"/>
    </row>
    <row r="17" spans="1:10" s="20" customFormat="1" x14ac:dyDescent="0.3">
      <c r="A17" s="16" t="s">
        <v>60</v>
      </c>
      <c r="B17" s="39">
        <v>6660000</v>
      </c>
      <c r="C17" s="40">
        <v>6660000</v>
      </c>
      <c r="D17" s="40">
        <v>6660000</v>
      </c>
      <c r="E17" s="40">
        <v>6660000</v>
      </c>
      <c r="F17" s="41"/>
      <c r="G17" s="40"/>
      <c r="H17" s="40"/>
      <c r="I17" s="40"/>
    </row>
    <row r="18" spans="1:10" s="20" customFormat="1" x14ac:dyDescent="0.3">
      <c r="A18" s="16" t="s">
        <v>61</v>
      </c>
      <c r="B18" s="39">
        <v>2000000</v>
      </c>
      <c r="C18" s="40">
        <v>2000000</v>
      </c>
      <c r="D18" s="40">
        <v>2000000</v>
      </c>
      <c r="E18" s="40">
        <v>2000000</v>
      </c>
      <c r="F18" s="41"/>
      <c r="G18" s="40"/>
      <c r="H18" s="40"/>
      <c r="I18" s="40"/>
    </row>
    <row r="19" spans="1:10" s="20" customFormat="1" x14ac:dyDescent="0.3">
      <c r="A19" s="16" t="s">
        <v>62</v>
      </c>
      <c r="B19" s="39">
        <v>22138</v>
      </c>
      <c r="C19" s="40">
        <v>87498</v>
      </c>
      <c r="D19" s="40">
        <v>87498</v>
      </c>
      <c r="E19" s="40">
        <v>87498</v>
      </c>
      <c r="F19" s="41">
        <v>87498</v>
      </c>
      <c r="G19" s="42">
        <v>3800000</v>
      </c>
      <c r="H19" s="42">
        <v>3800000</v>
      </c>
      <c r="I19" s="42">
        <v>3800000</v>
      </c>
      <c r="J19" s="32" t="s">
        <v>67</v>
      </c>
    </row>
    <row r="20" spans="1:10" s="20" customFormat="1" x14ac:dyDescent="0.3">
      <c r="A20" s="21" t="s">
        <v>28</v>
      </c>
      <c r="B20" s="42">
        <v>8660000</v>
      </c>
      <c r="C20" s="40"/>
      <c r="D20" s="40"/>
      <c r="E20" s="40"/>
      <c r="F20" s="41"/>
      <c r="G20" s="40"/>
      <c r="H20" s="40"/>
      <c r="I20" s="40"/>
    </row>
    <row r="21" spans="1:10" s="5" customFormat="1" x14ac:dyDescent="0.3">
      <c r="A21" s="13" t="s">
        <v>8</v>
      </c>
      <c r="B21" s="33">
        <v>285947.15000000002</v>
      </c>
      <c r="C21" s="43">
        <v>0</v>
      </c>
      <c r="D21" s="43">
        <v>0</v>
      </c>
      <c r="E21" s="43">
        <v>0</v>
      </c>
      <c r="F21" s="44">
        <v>0</v>
      </c>
      <c r="G21" s="43"/>
      <c r="H21" s="43"/>
      <c r="I21" s="43"/>
    </row>
    <row r="22" spans="1:10" s="20" customFormat="1" x14ac:dyDescent="0.3">
      <c r="A22" s="16" t="s">
        <v>9</v>
      </c>
      <c r="B22" s="39">
        <v>11795.26</v>
      </c>
      <c r="C22" s="40">
        <v>0</v>
      </c>
      <c r="D22" s="40">
        <v>0</v>
      </c>
      <c r="E22" s="40">
        <v>0</v>
      </c>
      <c r="F22" s="41">
        <v>0</v>
      </c>
      <c r="G22" s="40"/>
      <c r="H22" s="40"/>
      <c r="I22" s="40"/>
    </row>
    <row r="23" spans="1:10" s="20" customFormat="1" x14ac:dyDescent="0.3">
      <c r="A23" s="16" t="s">
        <v>10</v>
      </c>
      <c r="B23" s="39">
        <v>500000</v>
      </c>
      <c r="C23" s="40">
        <v>700000</v>
      </c>
      <c r="D23" s="40">
        <v>940000</v>
      </c>
      <c r="E23" s="40">
        <v>950000</v>
      </c>
      <c r="F23" s="41">
        <v>950000</v>
      </c>
      <c r="G23" s="40">
        <v>1250000</v>
      </c>
      <c r="H23" s="40">
        <v>1250000</v>
      </c>
      <c r="I23" s="40">
        <v>1250000</v>
      </c>
    </row>
    <row r="24" spans="1:10" s="20" customFormat="1" x14ac:dyDescent="0.3">
      <c r="A24" s="21" t="s">
        <v>11</v>
      </c>
      <c r="B24" s="39"/>
      <c r="C24" s="40"/>
      <c r="D24" s="40"/>
      <c r="E24" s="40"/>
      <c r="F24" s="41"/>
      <c r="G24" s="40"/>
      <c r="H24" s="40"/>
      <c r="I24" s="40"/>
    </row>
    <row r="25" spans="1:10" s="20" customFormat="1" x14ac:dyDescent="0.3">
      <c r="A25" s="16" t="s">
        <v>12</v>
      </c>
      <c r="B25" s="39">
        <v>229350</v>
      </c>
      <c r="C25" s="40">
        <v>231778</v>
      </c>
      <c r="D25" s="40">
        <v>228181</v>
      </c>
      <c r="E25" s="40">
        <v>228386</v>
      </c>
      <c r="F25" s="41">
        <v>232196</v>
      </c>
      <c r="G25" s="40">
        <v>229836</v>
      </c>
      <c r="H25" s="40">
        <v>226436</v>
      </c>
      <c r="I25" s="40">
        <v>226866</v>
      </c>
    </row>
    <row r="26" spans="1:10" s="20" customFormat="1" x14ac:dyDescent="0.3">
      <c r="A26" s="21" t="s">
        <v>13</v>
      </c>
      <c r="B26" s="39"/>
      <c r="C26" s="40"/>
      <c r="D26" s="40"/>
      <c r="E26" s="40"/>
      <c r="F26" s="41"/>
      <c r="G26" s="40"/>
      <c r="H26" s="40"/>
      <c r="I26" s="40"/>
    </row>
    <row r="27" spans="1:10" s="5" customFormat="1" x14ac:dyDescent="0.3">
      <c r="A27" s="13" t="s">
        <v>14</v>
      </c>
      <c r="B27" s="33">
        <v>319184.98</v>
      </c>
      <c r="C27" s="43">
        <v>330698.94</v>
      </c>
      <c r="D27" s="43">
        <v>342628.25</v>
      </c>
      <c r="E27" s="43">
        <v>354987.88</v>
      </c>
      <c r="F27" s="44">
        <v>367793.37</v>
      </c>
      <c r="G27" s="43">
        <v>284525.92</v>
      </c>
      <c r="H27" s="43"/>
      <c r="I27" s="43"/>
    </row>
    <row r="28" spans="1:10" s="5" customFormat="1" x14ac:dyDescent="0.3">
      <c r="A28" s="14" t="s">
        <v>15</v>
      </c>
      <c r="B28" s="35">
        <v>66954.62</v>
      </c>
      <c r="C28" s="45">
        <v>55440.66</v>
      </c>
      <c r="D28" s="45">
        <v>43511.35</v>
      </c>
      <c r="E28" s="45">
        <v>31151.72</v>
      </c>
      <c r="F28" s="46">
        <v>18346.23</v>
      </c>
      <c r="G28" s="45">
        <v>5078.78</v>
      </c>
      <c r="H28" s="45"/>
      <c r="I28" s="45"/>
    </row>
    <row r="29" spans="1:10" s="5" customFormat="1" x14ac:dyDescent="0.3">
      <c r="A29" s="15" t="s">
        <v>24</v>
      </c>
      <c r="B29" s="37">
        <f>SUM(B17:B28)</f>
        <v>18755370.010000002</v>
      </c>
      <c r="C29" s="37">
        <f t="shared" ref="C29:I29" si="2">SUM(C17:C28)</f>
        <v>10065415.6</v>
      </c>
      <c r="D29" s="37">
        <f t="shared" si="2"/>
        <v>10301818.6</v>
      </c>
      <c r="E29" s="37">
        <f t="shared" si="2"/>
        <v>10312023.600000001</v>
      </c>
      <c r="F29" s="38">
        <f t="shared" si="2"/>
        <v>1655833.6000000001</v>
      </c>
      <c r="G29" s="37">
        <f t="shared" si="2"/>
        <v>5569440.7000000002</v>
      </c>
      <c r="H29" s="37">
        <f t="shared" si="2"/>
        <v>5276436</v>
      </c>
      <c r="I29" s="37">
        <f t="shared" si="2"/>
        <v>5276866</v>
      </c>
    </row>
    <row r="30" spans="1:10" s="5" customFormat="1" x14ac:dyDescent="0.3">
      <c r="A30" s="15"/>
      <c r="B30" s="37"/>
      <c r="C30" s="37"/>
      <c r="D30" s="37"/>
      <c r="E30" s="37"/>
      <c r="F30" s="38"/>
      <c r="G30" s="37"/>
      <c r="H30" s="37"/>
      <c r="I30" s="37"/>
    </row>
    <row r="31" spans="1:10" s="5" customFormat="1" x14ac:dyDescent="0.3">
      <c r="A31" s="14" t="s">
        <v>63</v>
      </c>
      <c r="B31" s="35">
        <v>6000000</v>
      </c>
      <c r="C31" s="35">
        <v>3000000</v>
      </c>
      <c r="D31" s="35">
        <v>3000000</v>
      </c>
      <c r="E31" s="35">
        <v>3000000</v>
      </c>
      <c r="F31" s="35">
        <v>3000000</v>
      </c>
      <c r="G31" s="35">
        <v>3000000</v>
      </c>
      <c r="H31" s="35">
        <v>3000000</v>
      </c>
      <c r="I31" s="35">
        <v>3000000</v>
      </c>
    </row>
    <row r="32" spans="1:10" s="5" customFormat="1" x14ac:dyDescent="0.3">
      <c r="A32" s="13"/>
      <c r="B32" s="33"/>
      <c r="C32" s="43"/>
      <c r="D32" s="43"/>
      <c r="E32" s="43"/>
      <c r="F32" s="44"/>
      <c r="G32" s="43"/>
      <c r="H32" s="43"/>
      <c r="I32" s="43"/>
    </row>
    <row r="33" spans="1:9" s="5" customFormat="1" x14ac:dyDescent="0.3">
      <c r="A33" s="15" t="s">
        <v>25</v>
      </c>
      <c r="B33" s="37">
        <f>+B14-B29-B31</f>
        <v>-10456370.010000002</v>
      </c>
      <c r="C33" s="37">
        <f t="shared" ref="C33:I33" si="3">+C14-C29-C31</f>
        <v>-421165.59999999963</v>
      </c>
      <c r="D33" s="37">
        <f t="shared" si="3"/>
        <v>-2409764.3999999966</v>
      </c>
      <c r="E33" s="37">
        <f t="shared" si="3"/>
        <v>-4274225.8814999983</v>
      </c>
      <c r="F33" s="37">
        <f t="shared" si="3"/>
        <v>-4908302.012372477</v>
      </c>
      <c r="G33" s="37">
        <f t="shared" si="3"/>
        <v>-5943936.6732113035</v>
      </c>
      <c r="H33" s="37">
        <f t="shared" si="3"/>
        <v>-1805017.8763286322</v>
      </c>
      <c r="I33" s="37">
        <f t="shared" si="3"/>
        <v>-16881417</v>
      </c>
    </row>
    <row r="34" spans="1:9" s="5" customFormat="1" x14ac:dyDescent="0.3">
      <c r="A34" s="15"/>
      <c r="B34" s="37"/>
      <c r="C34" s="37"/>
      <c r="D34" s="37"/>
      <c r="E34" s="37"/>
      <c r="F34" s="38"/>
      <c r="G34" s="37"/>
      <c r="H34" s="37"/>
      <c r="I34" s="37"/>
    </row>
    <row r="35" spans="1:9" s="5" customFormat="1" x14ac:dyDescent="0.3">
      <c r="A35" s="13" t="s">
        <v>26</v>
      </c>
      <c r="B35" s="33">
        <v>20980423</v>
      </c>
      <c r="C35" s="43">
        <f>+B36</f>
        <v>10524052.989999998</v>
      </c>
      <c r="D35" s="43">
        <f>+C36</f>
        <v>10102887.389999999</v>
      </c>
      <c r="E35" s="43">
        <v>5000000</v>
      </c>
      <c r="F35" s="44">
        <v>5000000</v>
      </c>
      <c r="G35" s="43">
        <v>5000000</v>
      </c>
      <c r="H35" s="43">
        <v>5000000</v>
      </c>
      <c r="I35" s="43">
        <v>5000000</v>
      </c>
    </row>
    <row r="36" spans="1:9" s="5" customFormat="1" x14ac:dyDescent="0.3">
      <c r="A36" s="13" t="s">
        <v>27</v>
      </c>
      <c r="B36" s="33">
        <f>+B35+B33</f>
        <v>10524052.989999998</v>
      </c>
      <c r="C36" s="33">
        <f>+C35+C33</f>
        <v>10102887.389999999</v>
      </c>
      <c r="D36" s="33">
        <f t="shared" ref="D36:E36" si="4">+D35+D33</f>
        <v>7693122.9900000021</v>
      </c>
      <c r="E36" s="33">
        <f t="shared" si="4"/>
        <v>725774.11850000173</v>
      </c>
      <c r="F36" s="34">
        <f t="shared" ref="F36:I36" si="5">+F35+F33</f>
        <v>91697.98762752302</v>
      </c>
      <c r="G36" s="33">
        <f t="shared" si="5"/>
        <v>-943936.67321130354</v>
      </c>
      <c r="H36" s="33">
        <f t="shared" si="5"/>
        <v>3194982.1236713678</v>
      </c>
      <c r="I36" s="33">
        <f t="shared" si="5"/>
        <v>-11881417</v>
      </c>
    </row>
    <row r="37" spans="1:9" s="5" customFormat="1" x14ac:dyDescent="0.3">
      <c r="A37" s="13"/>
      <c r="B37" s="33"/>
      <c r="C37" s="43"/>
      <c r="D37" s="43"/>
      <c r="E37" s="43"/>
      <c r="F37" s="44"/>
      <c r="G37" s="43"/>
      <c r="H37" s="43"/>
      <c r="I37" s="43"/>
    </row>
    <row r="38" spans="1:9" s="48" customFormat="1" x14ac:dyDescent="0.3">
      <c r="A38" s="47" t="s">
        <v>64</v>
      </c>
      <c r="B38" s="37"/>
      <c r="C38" s="37"/>
      <c r="D38" s="37"/>
      <c r="E38" s="37">
        <f>(-E36)+5000000</f>
        <v>4274225.8814999983</v>
      </c>
      <c r="F38" s="37">
        <f t="shared" ref="F38:I38" si="6">(-F36)+5000000</f>
        <v>4908302.012372477</v>
      </c>
      <c r="G38" s="37">
        <f t="shared" si="6"/>
        <v>5943936.6732113035</v>
      </c>
      <c r="H38" s="37">
        <f t="shared" si="6"/>
        <v>1805017.8763286322</v>
      </c>
      <c r="I38" s="37">
        <f t="shared" si="6"/>
        <v>16881417</v>
      </c>
    </row>
    <row r="40" spans="1:9" s="48" customFormat="1" x14ac:dyDescent="0.3">
      <c r="A40" s="47" t="s">
        <v>65</v>
      </c>
      <c r="B40" s="47"/>
      <c r="C40" s="47"/>
      <c r="D40" s="49"/>
      <c r="E40" s="49">
        <v>0.245</v>
      </c>
      <c r="F40" s="49">
        <v>0.23</v>
      </c>
      <c r="G40" s="49">
        <v>0.22500000000000001</v>
      </c>
      <c r="H40" s="50">
        <v>5.2999999999999999E-2</v>
      </c>
      <c r="I40" s="47"/>
    </row>
  </sheetData>
  <mergeCells count="1">
    <mergeCell ref="B2:I3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7"/>
  </sheetPr>
  <dimension ref="A1:K56"/>
  <sheetViews>
    <sheetView topLeftCell="A7" workbookViewId="0">
      <selection activeCell="B38" sqref="B38"/>
    </sheetView>
  </sheetViews>
  <sheetFormatPr defaultRowHeight="12.75" x14ac:dyDescent="0.2"/>
  <cols>
    <col min="1" max="1" width="9.7109375" style="2" customWidth="1"/>
    <col min="2" max="8" width="14.7109375" style="2" customWidth="1"/>
    <col min="9" max="9" width="9.140625" style="2"/>
    <col min="10" max="10" width="15.5703125" style="2" bestFit="1" customWidth="1"/>
    <col min="11" max="11" width="14.5703125" style="2" bestFit="1" customWidth="1"/>
    <col min="12" max="256" width="9.140625" style="2"/>
    <col min="257" max="257" width="9.7109375" style="2" customWidth="1"/>
    <col min="258" max="264" width="14.7109375" style="2" customWidth="1"/>
    <col min="265" max="265" width="9.140625" style="2"/>
    <col min="266" max="266" width="15.5703125" style="2" bestFit="1" customWidth="1"/>
    <col min="267" max="267" width="14.5703125" style="2" bestFit="1" customWidth="1"/>
    <col min="268" max="512" width="9.140625" style="2"/>
    <col min="513" max="513" width="9.7109375" style="2" customWidth="1"/>
    <col min="514" max="520" width="14.7109375" style="2" customWidth="1"/>
    <col min="521" max="521" width="9.140625" style="2"/>
    <col min="522" max="522" width="15.5703125" style="2" bestFit="1" customWidth="1"/>
    <col min="523" max="523" width="14.5703125" style="2" bestFit="1" customWidth="1"/>
    <col min="524" max="768" width="9.140625" style="2"/>
    <col min="769" max="769" width="9.7109375" style="2" customWidth="1"/>
    <col min="770" max="776" width="14.7109375" style="2" customWidth="1"/>
    <col min="777" max="777" width="9.140625" style="2"/>
    <col min="778" max="778" width="15.5703125" style="2" bestFit="1" customWidth="1"/>
    <col min="779" max="779" width="14.5703125" style="2" bestFit="1" customWidth="1"/>
    <col min="780" max="1024" width="9.140625" style="2"/>
    <col min="1025" max="1025" width="9.7109375" style="2" customWidth="1"/>
    <col min="1026" max="1032" width="14.7109375" style="2" customWidth="1"/>
    <col min="1033" max="1033" width="9.140625" style="2"/>
    <col min="1034" max="1034" width="15.5703125" style="2" bestFit="1" customWidth="1"/>
    <col min="1035" max="1035" width="14.5703125" style="2" bestFit="1" customWidth="1"/>
    <col min="1036" max="1280" width="9.140625" style="2"/>
    <col min="1281" max="1281" width="9.7109375" style="2" customWidth="1"/>
    <col min="1282" max="1288" width="14.7109375" style="2" customWidth="1"/>
    <col min="1289" max="1289" width="9.140625" style="2"/>
    <col min="1290" max="1290" width="15.5703125" style="2" bestFit="1" customWidth="1"/>
    <col min="1291" max="1291" width="14.5703125" style="2" bestFit="1" customWidth="1"/>
    <col min="1292" max="1536" width="9.140625" style="2"/>
    <col min="1537" max="1537" width="9.7109375" style="2" customWidth="1"/>
    <col min="1538" max="1544" width="14.7109375" style="2" customWidth="1"/>
    <col min="1545" max="1545" width="9.140625" style="2"/>
    <col min="1546" max="1546" width="15.5703125" style="2" bestFit="1" customWidth="1"/>
    <col min="1547" max="1547" width="14.5703125" style="2" bestFit="1" customWidth="1"/>
    <col min="1548" max="1792" width="9.140625" style="2"/>
    <col min="1793" max="1793" width="9.7109375" style="2" customWidth="1"/>
    <col min="1794" max="1800" width="14.7109375" style="2" customWidth="1"/>
    <col min="1801" max="1801" width="9.140625" style="2"/>
    <col min="1802" max="1802" width="15.5703125" style="2" bestFit="1" customWidth="1"/>
    <col min="1803" max="1803" width="14.5703125" style="2" bestFit="1" customWidth="1"/>
    <col min="1804" max="2048" width="9.140625" style="2"/>
    <col min="2049" max="2049" width="9.7109375" style="2" customWidth="1"/>
    <col min="2050" max="2056" width="14.7109375" style="2" customWidth="1"/>
    <col min="2057" max="2057" width="9.140625" style="2"/>
    <col min="2058" max="2058" width="15.5703125" style="2" bestFit="1" customWidth="1"/>
    <col min="2059" max="2059" width="14.5703125" style="2" bestFit="1" customWidth="1"/>
    <col min="2060" max="2304" width="9.140625" style="2"/>
    <col min="2305" max="2305" width="9.7109375" style="2" customWidth="1"/>
    <col min="2306" max="2312" width="14.7109375" style="2" customWidth="1"/>
    <col min="2313" max="2313" width="9.140625" style="2"/>
    <col min="2314" max="2314" width="15.5703125" style="2" bestFit="1" customWidth="1"/>
    <col min="2315" max="2315" width="14.5703125" style="2" bestFit="1" customWidth="1"/>
    <col min="2316" max="2560" width="9.140625" style="2"/>
    <col min="2561" max="2561" width="9.7109375" style="2" customWidth="1"/>
    <col min="2562" max="2568" width="14.7109375" style="2" customWidth="1"/>
    <col min="2569" max="2569" width="9.140625" style="2"/>
    <col min="2570" max="2570" width="15.5703125" style="2" bestFit="1" customWidth="1"/>
    <col min="2571" max="2571" width="14.5703125" style="2" bestFit="1" customWidth="1"/>
    <col min="2572" max="2816" width="9.140625" style="2"/>
    <col min="2817" max="2817" width="9.7109375" style="2" customWidth="1"/>
    <col min="2818" max="2824" width="14.7109375" style="2" customWidth="1"/>
    <col min="2825" max="2825" width="9.140625" style="2"/>
    <col min="2826" max="2826" width="15.5703125" style="2" bestFit="1" customWidth="1"/>
    <col min="2827" max="2827" width="14.5703125" style="2" bestFit="1" customWidth="1"/>
    <col min="2828" max="3072" width="9.140625" style="2"/>
    <col min="3073" max="3073" width="9.7109375" style="2" customWidth="1"/>
    <col min="3074" max="3080" width="14.7109375" style="2" customWidth="1"/>
    <col min="3081" max="3081" width="9.140625" style="2"/>
    <col min="3082" max="3082" width="15.5703125" style="2" bestFit="1" customWidth="1"/>
    <col min="3083" max="3083" width="14.5703125" style="2" bestFit="1" customWidth="1"/>
    <col min="3084" max="3328" width="9.140625" style="2"/>
    <col min="3329" max="3329" width="9.7109375" style="2" customWidth="1"/>
    <col min="3330" max="3336" width="14.7109375" style="2" customWidth="1"/>
    <col min="3337" max="3337" width="9.140625" style="2"/>
    <col min="3338" max="3338" width="15.5703125" style="2" bestFit="1" customWidth="1"/>
    <col min="3339" max="3339" width="14.5703125" style="2" bestFit="1" customWidth="1"/>
    <col min="3340" max="3584" width="9.140625" style="2"/>
    <col min="3585" max="3585" width="9.7109375" style="2" customWidth="1"/>
    <col min="3586" max="3592" width="14.7109375" style="2" customWidth="1"/>
    <col min="3593" max="3593" width="9.140625" style="2"/>
    <col min="3594" max="3594" width="15.5703125" style="2" bestFit="1" customWidth="1"/>
    <col min="3595" max="3595" width="14.5703125" style="2" bestFit="1" customWidth="1"/>
    <col min="3596" max="3840" width="9.140625" style="2"/>
    <col min="3841" max="3841" width="9.7109375" style="2" customWidth="1"/>
    <col min="3842" max="3848" width="14.7109375" style="2" customWidth="1"/>
    <col min="3849" max="3849" width="9.140625" style="2"/>
    <col min="3850" max="3850" width="15.5703125" style="2" bestFit="1" customWidth="1"/>
    <col min="3851" max="3851" width="14.5703125" style="2" bestFit="1" customWidth="1"/>
    <col min="3852" max="4096" width="9.140625" style="2"/>
    <col min="4097" max="4097" width="9.7109375" style="2" customWidth="1"/>
    <col min="4098" max="4104" width="14.7109375" style="2" customWidth="1"/>
    <col min="4105" max="4105" width="9.140625" style="2"/>
    <col min="4106" max="4106" width="15.5703125" style="2" bestFit="1" customWidth="1"/>
    <col min="4107" max="4107" width="14.5703125" style="2" bestFit="1" customWidth="1"/>
    <col min="4108" max="4352" width="9.140625" style="2"/>
    <col min="4353" max="4353" width="9.7109375" style="2" customWidth="1"/>
    <col min="4354" max="4360" width="14.7109375" style="2" customWidth="1"/>
    <col min="4361" max="4361" width="9.140625" style="2"/>
    <col min="4362" max="4362" width="15.5703125" style="2" bestFit="1" customWidth="1"/>
    <col min="4363" max="4363" width="14.5703125" style="2" bestFit="1" customWidth="1"/>
    <col min="4364" max="4608" width="9.140625" style="2"/>
    <col min="4609" max="4609" width="9.7109375" style="2" customWidth="1"/>
    <col min="4610" max="4616" width="14.7109375" style="2" customWidth="1"/>
    <col min="4617" max="4617" width="9.140625" style="2"/>
    <col min="4618" max="4618" width="15.5703125" style="2" bestFit="1" customWidth="1"/>
    <col min="4619" max="4619" width="14.5703125" style="2" bestFit="1" customWidth="1"/>
    <col min="4620" max="4864" width="9.140625" style="2"/>
    <col min="4865" max="4865" width="9.7109375" style="2" customWidth="1"/>
    <col min="4866" max="4872" width="14.7109375" style="2" customWidth="1"/>
    <col min="4873" max="4873" width="9.140625" style="2"/>
    <col min="4874" max="4874" width="15.5703125" style="2" bestFit="1" customWidth="1"/>
    <col min="4875" max="4875" width="14.5703125" style="2" bestFit="1" customWidth="1"/>
    <col min="4876" max="5120" width="9.140625" style="2"/>
    <col min="5121" max="5121" width="9.7109375" style="2" customWidth="1"/>
    <col min="5122" max="5128" width="14.7109375" style="2" customWidth="1"/>
    <col min="5129" max="5129" width="9.140625" style="2"/>
    <col min="5130" max="5130" width="15.5703125" style="2" bestFit="1" customWidth="1"/>
    <col min="5131" max="5131" width="14.5703125" style="2" bestFit="1" customWidth="1"/>
    <col min="5132" max="5376" width="9.140625" style="2"/>
    <col min="5377" max="5377" width="9.7109375" style="2" customWidth="1"/>
    <col min="5378" max="5384" width="14.7109375" style="2" customWidth="1"/>
    <col min="5385" max="5385" width="9.140625" style="2"/>
    <col min="5386" max="5386" width="15.5703125" style="2" bestFit="1" customWidth="1"/>
    <col min="5387" max="5387" width="14.5703125" style="2" bestFit="1" customWidth="1"/>
    <col min="5388" max="5632" width="9.140625" style="2"/>
    <col min="5633" max="5633" width="9.7109375" style="2" customWidth="1"/>
    <col min="5634" max="5640" width="14.7109375" style="2" customWidth="1"/>
    <col min="5641" max="5641" width="9.140625" style="2"/>
    <col min="5642" max="5642" width="15.5703125" style="2" bestFit="1" customWidth="1"/>
    <col min="5643" max="5643" width="14.5703125" style="2" bestFit="1" customWidth="1"/>
    <col min="5644" max="5888" width="9.140625" style="2"/>
    <col min="5889" max="5889" width="9.7109375" style="2" customWidth="1"/>
    <col min="5890" max="5896" width="14.7109375" style="2" customWidth="1"/>
    <col min="5897" max="5897" width="9.140625" style="2"/>
    <col min="5898" max="5898" width="15.5703125" style="2" bestFit="1" customWidth="1"/>
    <col min="5899" max="5899" width="14.5703125" style="2" bestFit="1" customWidth="1"/>
    <col min="5900" max="6144" width="9.140625" style="2"/>
    <col min="6145" max="6145" width="9.7109375" style="2" customWidth="1"/>
    <col min="6146" max="6152" width="14.7109375" style="2" customWidth="1"/>
    <col min="6153" max="6153" width="9.140625" style="2"/>
    <col min="6154" max="6154" width="15.5703125" style="2" bestFit="1" customWidth="1"/>
    <col min="6155" max="6155" width="14.5703125" style="2" bestFit="1" customWidth="1"/>
    <col min="6156" max="6400" width="9.140625" style="2"/>
    <col min="6401" max="6401" width="9.7109375" style="2" customWidth="1"/>
    <col min="6402" max="6408" width="14.7109375" style="2" customWidth="1"/>
    <col min="6409" max="6409" width="9.140625" style="2"/>
    <col min="6410" max="6410" width="15.5703125" style="2" bestFit="1" customWidth="1"/>
    <col min="6411" max="6411" width="14.5703125" style="2" bestFit="1" customWidth="1"/>
    <col min="6412" max="6656" width="9.140625" style="2"/>
    <col min="6657" max="6657" width="9.7109375" style="2" customWidth="1"/>
    <col min="6658" max="6664" width="14.7109375" style="2" customWidth="1"/>
    <col min="6665" max="6665" width="9.140625" style="2"/>
    <col min="6666" max="6666" width="15.5703125" style="2" bestFit="1" customWidth="1"/>
    <col min="6667" max="6667" width="14.5703125" style="2" bestFit="1" customWidth="1"/>
    <col min="6668" max="6912" width="9.140625" style="2"/>
    <col min="6913" max="6913" width="9.7109375" style="2" customWidth="1"/>
    <col min="6914" max="6920" width="14.7109375" style="2" customWidth="1"/>
    <col min="6921" max="6921" width="9.140625" style="2"/>
    <col min="6922" max="6922" width="15.5703125" style="2" bestFit="1" customWidth="1"/>
    <col min="6923" max="6923" width="14.5703125" style="2" bestFit="1" customWidth="1"/>
    <col min="6924" max="7168" width="9.140625" style="2"/>
    <col min="7169" max="7169" width="9.7109375" style="2" customWidth="1"/>
    <col min="7170" max="7176" width="14.7109375" style="2" customWidth="1"/>
    <col min="7177" max="7177" width="9.140625" style="2"/>
    <col min="7178" max="7178" width="15.5703125" style="2" bestFit="1" customWidth="1"/>
    <col min="7179" max="7179" width="14.5703125" style="2" bestFit="1" customWidth="1"/>
    <col min="7180" max="7424" width="9.140625" style="2"/>
    <col min="7425" max="7425" width="9.7109375" style="2" customWidth="1"/>
    <col min="7426" max="7432" width="14.7109375" style="2" customWidth="1"/>
    <col min="7433" max="7433" width="9.140625" style="2"/>
    <col min="7434" max="7434" width="15.5703125" style="2" bestFit="1" customWidth="1"/>
    <col min="7435" max="7435" width="14.5703125" style="2" bestFit="1" customWidth="1"/>
    <col min="7436" max="7680" width="9.140625" style="2"/>
    <col min="7681" max="7681" width="9.7109375" style="2" customWidth="1"/>
    <col min="7682" max="7688" width="14.7109375" style="2" customWidth="1"/>
    <col min="7689" max="7689" width="9.140625" style="2"/>
    <col min="7690" max="7690" width="15.5703125" style="2" bestFit="1" customWidth="1"/>
    <col min="7691" max="7691" width="14.5703125" style="2" bestFit="1" customWidth="1"/>
    <col min="7692" max="7936" width="9.140625" style="2"/>
    <col min="7937" max="7937" width="9.7109375" style="2" customWidth="1"/>
    <col min="7938" max="7944" width="14.7109375" style="2" customWidth="1"/>
    <col min="7945" max="7945" width="9.140625" style="2"/>
    <col min="7946" max="7946" width="15.5703125" style="2" bestFit="1" customWidth="1"/>
    <col min="7947" max="7947" width="14.5703125" style="2" bestFit="1" customWidth="1"/>
    <col min="7948" max="8192" width="9.140625" style="2"/>
    <col min="8193" max="8193" width="9.7109375" style="2" customWidth="1"/>
    <col min="8194" max="8200" width="14.7109375" style="2" customWidth="1"/>
    <col min="8201" max="8201" width="9.140625" style="2"/>
    <col min="8202" max="8202" width="15.5703125" style="2" bestFit="1" customWidth="1"/>
    <col min="8203" max="8203" width="14.5703125" style="2" bestFit="1" customWidth="1"/>
    <col min="8204" max="8448" width="9.140625" style="2"/>
    <col min="8449" max="8449" width="9.7109375" style="2" customWidth="1"/>
    <col min="8450" max="8456" width="14.7109375" style="2" customWidth="1"/>
    <col min="8457" max="8457" width="9.140625" style="2"/>
    <col min="8458" max="8458" width="15.5703125" style="2" bestFit="1" customWidth="1"/>
    <col min="8459" max="8459" width="14.5703125" style="2" bestFit="1" customWidth="1"/>
    <col min="8460" max="8704" width="9.140625" style="2"/>
    <col min="8705" max="8705" width="9.7109375" style="2" customWidth="1"/>
    <col min="8706" max="8712" width="14.7109375" style="2" customWidth="1"/>
    <col min="8713" max="8713" width="9.140625" style="2"/>
    <col min="8714" max="8714" width="15.5703125" style="2" bestFit="1" customWidth="1"/>
    <col min="8715" max="8715" width="14.5703125" style="2" bestFit="1" customWidth="1"/>
    <col min="8716" max="8960" width="9.140625" style="2"/>
    <col min="8961" max="8961" width="9.7109375" style="2" customWidth="1"/>
    <col min="8962" max="8968" width="14.7109375" style="2" customWidth="1"/>
    <col min="8969" max="8969" width="9.140625" style="2"/>
    <col min="8970" max="8970" width="15.5703125" style="2" bestFit="1" customWidth="1"/>
    <col min="8971" max="8971" width="14.5703125" style="2" bestFit="1" customWidth="1"/>
    <col min="8972" max="9216" width="9.140625" style="2"/>
    <col min="9217" max="9217" width="9.7109375" style="2" customWidth="1"/>
    <col min="9218" max="9224" width="14.7109375" style="2" customWidth="1"/>
    <col min="9225" max="9225" width="9.140625" style="2"/>
    <col min="9226" max="9226" width="15.5703125" style="2" bestFit="1" customWidth="1"/>
    <col min="9227" max="9227" width="14.5703125" style="2" bestFit="1" customWidth="1"/>
    <col min="9228" max="9472" width="9.140625" style="2"/>
    <col min="9473" max="9473" width="9.7109375" style="2" customWidth="1"/>
    <col min="9474" max="9480" width="14.7109375" style="2" customWidth="1"/>
    <col min="9481" max="9481" width="9.140625" style="2"/>
    <col min="9482" max="9482" width="15.5703125" style="2" bestFit="1" customWidth="1"/>
    <col min="9483" max="9483" width="14.5703125" style="2" bestFit="1" customWidth="1"/>
    <col min="9484" max="9728" width="9.140625" style="2"/>
    <col min="9729" max="9729" width="9.7109375" style="2" customWidth="1"/>
    <col min="9730" max="9736" width="14.7109375" style="2" customWidth="1"/>
    <col min="9737" max="9737" width="9.140625" style="2"/>
    <col min="9738" max="9738" width="15.5703125" style="2" bestFit="1" customWidth="1"/>
    <col min="9739" max="9739" width="14.5703125" style="2" bestFit="1" customWidth="1"/>
    <col min="9740" max="9984" width="9.140625" style="2"/>
    <col min="9985" max="9985" width="9.7109375" style="2" customWidth="1"/>
    <col min="9986" max="9992" width="14.7109375" style="2" customWidth="1"/>
    <col min="9993" max="9993" width="9.140625" style="2"/>
    <col min="9994" max="9994" width="15.5703125" style="2" bestFit="1" customWidth="1"/>
    <col min="9995" max="9995" width="14.5703125" style="2" bestFit="1" customWidth="1"/>
    <col min="9996" max="10240" width="9.140625" style="2"/>
    <col min="10241" max="10241" width="9.7109375" style="2" customWidth="1"/>
    <col min="10242" max="10248" width="14.7109375" style="2" customWidth="1"/>
    <col min="10249" max="10249" width="9.140625" style="2"/>
    <col min="10250" max="10250" width="15.5703125" style="2" bestFit="1" customWidth="1"/>
    <col min="10251" max="10251" width="14.5703125" style="2" bestFit="1" customWidth="1"/>
    <col min="10252" max="10496" width="9.140625" style="2"/>
    <col min="10497" max="10497" width="9.7109375" style="2" customWidth="1"/>
    <col min="10498" max="10504" width="14.7109375" style="2" customWidth="1"/>
    <col min="10505" max="10505" width="9.140625" style="2"/>
    <col min="10506" max="10506" width="15.5703125" style="2" bestFit="1" customWidth="1"/>
    <col min="10507" max="10507" width="14.5703125" style="2" bestFit="1" customWidth="1"/>
    <col min="10508" max="10752" width="9.140625" style="2"/>
    <col min="10753" max="10753" width="9.7109375" style="2" customWidth="1"/>
    <col min="10754" max="10760" width="14.7109375" style="2" customWidth="1"/>
    <col min="10761" max="10761" width="9.140625" style="2"/>
    <col min="10762" max="10762" width="15.5703125" style="2" bestFit="1" customWidth="1"/>
    <col min="10763" max="10763" width="14.5703125" style="2" bestFit="1" customWidth="1"/>
    <col min="10764" max="11008" width="9.140625" style="2"/>
    <col min="11009" max="11009" width="9.7109375" style="2" customWidth="1"/>
    <col min="11010" max="11016" width="14.7109375" style="2" customWidth="1"/>
    <col min="11017" max="11017" width="9.140625" style="2"/>
    <col min="11018" max="11018" width="15.5703125" style="2" bestFit="1" customWidth="1"/>
    <col min="11019" max="11019" width="14.5703125" style="2" bestFit="1" customWidth="1"/>
    <col min="11020" max="11264" width="9.140625" style="2"/>
    <col min="11265" max="11265" width="9.7109375" style="2" customWidth="1"/>
    <col min="11266" max="11272" width="14.7109375" style="2" customWidth="1"/>
    <col min="11273" max="11273" width="9.140625" style="2"/>
    <col min="11274" max="11274" width="15.5703125" style="2" bestFit="1" customWidth="1"/>
    <col min="11275" max="11275" width="14.5703125" style="2" bestFit="1" customWidth="1"/>
    <col min="11276" max="11520" width="9.140625" style="2"/>
    <col min="11521" max="11521" width="9.7109375" style="2" customWidth="1"/>
    <col min="11522" max="11528" width="14.7109375" style="2" customWidth="1"/>
    <col min="11529" max="11529" width="9.140625" style="2"/>
    <col min="11530" max="11530" width="15.5703125" style="2" bestFit="1" customWidth="1"/>
    <col min="11531" max="11531" width="14.5703125" style="2" bestFit="1" customWidth="1"/>
    <col min="11532" max="11776" width="9.140625" style="2"/>
    <col min="11777" max="11777" width="9.7109375" style="2" customWidth="1"/>
    <col min="11778" max="11784" width="14.7109375" style="2" customWidth="1"/>
    <col min="11785" max="11785" width="9.140625" style="2"/>
    <col min="11786" max="11786" width="15.5703125" style="2" bestFit="1" customWidth="1"/>
    <col min="11787" max="11787" width="14.5703125" style="2" bestFit="1" customWidth="1"/>
    <col min="11788" max="12032" width="9.140625" style="2"/>
    <col min="12033" max="12033" width="9.7109375" style="2" customWidth="1"/>
    <col min="12034" max="12040" width="14.7109375" style="2" customWidth="1"/>
    <col min="12041" max="12041" width="9.140625" style="2"/>
    <col min="12042" max="12042" width="15.5703125" style="2" bestFit="1" customWidth="1"/>
    <col min="12043" max="12043" width="14.5703125" style="2" bestFit="1" customWidth="1"/>
    <col min="12044" max="12288" width="9.140625" style="2"/>
    <col min="12289" max="12289" width="9.7109375" style="2" customWidth="1"/>
    <col min="12290" max="12296" width="14.7109375" style="2" customWidth="1"/>
    <col min="12297" max="12297" width="9.140625" style="2"/>
    <col min="12298" max="12298" width="15.5703125" style="2" bestFit="1" customWidth="1"/>
    <col min="12299" max="12299" width="14.5703125" style="2" bestFit="1" customWidth="1"/>
    <col min="12300" max="12544" width="9.140625" style="2"/>
    <col min="12545" max="12545" width="9.7109375" style="2" customWidth="1"/>
    <col min="12546" max="12552" width="14.7109375" style="2" customWidth="1"/>
    <col min="12553" max="12553" width="9.140625" style="2"/>
    <col min="12554" max="12554" width="15.5703125" style="2" bestFit="1" customWidth="1"/>
    <col min="12555" max="12555" width="14.5703125" style="2" bestFit="1" customWidth="1"/>
    <col min="12556" max="12800" width="9.140625" style="2"/>
    <col min="12801" max="12801" width="9.7109375" style="2" customWidth="1"/>
    <col min="12802" max="12808" width="14.7109375" style="2" customWidth="1"/>
    <col min="12809" max="12809" width="9.140625" style="2"/>
    <col min="12810" max="12810" width="15.5703125" style="2" bestFit="1" customWidth="1"/>
    <col min="12811" max="12811" width="14.5703125" style="2" bestFit="1" customWidth="1"/>
    <col min="12812" max="13056" width="9.140625" style="2"/>
    <col min="13057" max="13057" width="9.7109375" style="2" customWidth="1"/>
    <col min="13058" max="13064" width="14.7109375" style="2" customWidth="1"/>
    <col min="13065" max="13065" width="9.140625" style="2"/>
    <col min="13066" max="13066" width="15.5703125" style="2" bestFit="1" customWidth="1"/>
    <col min="13067" max="13067" width="14.5703125" style="2" bestFit="1" customWidth="1"/>
    <col min="13068" max="13312" width="9.140625" style="2"/>
    <col min="13313" max="13313" width="9.7109375" style="2" customWidth="1"/>
    <col min="13314" max="13320" width="14.7109375" style="2" customWidth="1"/>
    <col min="13321" max="13321" width="9.140625" style="2"/>
    <col min="13322" max="13322" width="15.5703125" style="2" bestFit="1" customWidth="1"/>
    <col min="13323" max="13323" width="14.5703125" style="2" bestFit="1" customWidth="1"/>
    <col min="13324" max="13568" width="9.140625" style="2"/>
    <col min="13569" max="13569" width="9.7109375" style="2" customWidth="1"/>
    <col min="13570" max="13576" width="14.7109375" style="2" customWidth="1"/>
    <col min="13577" max="13577" width="9.140625" style="2"/>
    <col min="13578" max="13578" width="15.5703125" style="2" bestFit="1" customWidth="1"/>
    <col min="13579" max="13579" width="14.5703125" style="2" bestFit="1" customWidth="1"/>
    <col min="13580" max="13824" width="9.140625" style="2"/>
    <col min="13825" max="13825" width="9.7109375" style="2" customWidth="1"/>
    <col min="13826" max="13832" width="14.7109375" style="2" customWidth="1"/>
    <col min="13833" max="13833" width="9.140625" style="2"/>
    <col min="13834" max="13834" width="15.5703125" style="2" bestFit="1" customWidth="1"/>
    <col min="13835" max="13835" width="14.5703125" style="2" bestFit="1" customWidth="1"/>
    <col min="13836" max="14080" width="9.140625" style="2"/>
    <col min="14081" max="14081" width="9.7109375" style="2" customWidth="1"/>
    <col min="14082" max="14088" width="14.7109375" style="2" customWidth="1"/>
    <col min="14089" max="14089" width="9.140625" style="2"/>
    <col min="14090" max="14090" width="15.5703125" style="2" bestFit="1" customWidth="1"/>
    <col min="14091" max="14091" width="14.5703125" style="2" bestFit="1" customWidth="1"/>
    <col min="14092" max="14336" width="9.140625" style="2"/>
    <col min="14337" max="14337" width="9.7109375" style="2" customWidth="1"/>
    <col min="14338" max="14344" width="14.7109375" style="2" customWidth="1"/>
    <col min="14345" max="14345" width="9.140625" style="2"/>
    <col min="14346" max="14346" width="15.5703125" style="2" bestFit="1" customWidth="1"/>
    <col min="14347" max="14347" width="14.5703125" style="2" bestFit="1" customWidth="1"/>
    <col min="14348" max="14592" width="9.140625" style="2"/>
    <col min="14593" max="14593" width="9.7109375" style="2" customWidth="1"/>
    <col min="14594" max="14600" width="14.7109375" style="2" customWidth="1"/>
    <col min="14601" max="14601" width="9.140625" style="2"/>
    <col min="14602" max="14602" width="15.5703125" style="2" bestFit="1" customWidth="1"/>
    <col min="14603" max="14603" width="14.5703125" style="2" bestFit="1" customWidth="1"/>
    <col min="14604" max="14848" width="9.140625" style="2"/>
    <col min="14849" max="14849" width="9.7109375" style="2" customWidth="1"/>
    <col min="14850" max="14856" width="14.7109375" style="2" customWidth="1"/>
    <col min="14857" max="14857" width="9.140625" style="2"/>
    <col min="14858" max="14858" width="15.5703125" style="2" bestFit="1" customWidth="1"/>
    <col min="14859" max="14859" width="14.5703125" style="2" bestFit="1" customWidth="1"/>
    <col min="14860" max="15104" width="9.140625" style="2"/>
    <col min="15105" max="15105" width="9.7109375" style="2" customWidth="1"/>
    <col min="15106" max="15112" width="14.7109375" style="2" customWidth="1"/>
    <col min="15113" max="15113" width="9.140625" style="2"/>
    <col min="15114" max="15114" width="15.5703125" style="2" bestFit="1" customWidth="1"/>
    <col min="15115" max="15115" width="14.5703125" style="2" bestFit="1" customWidth="1"/>
    <col min="15116" max="15360" width="9.140625" style="2"/>
    <col min="15361" max="15361" width="9.7109375" style="2" customWidth="1"/>
    <col min="15362" max="15368" width="14.7109375" style="2" customWidth="1"/>
    <col min="15369" max="15369" width="9.140625" style="2"/>
    <col min="15370" max="15370" width="15.5703125" style="2" bestFit="1" customWidth="1"/>
    <col min="15371" max="15371" width="14.5703125" style="2" bestFit="1" customWidth="1"/>
    <col min="15372" max="15616" width="9.140625" style="2"/>
    <col min="15617" max="15617" width="9.7109375" style="2" customWidth="1"/>
    <col min="15618" max="15624" width="14.7109375" style="2" customWidth="1"/>
    <col min="15625" max="15625" width="9.140625" style="2"/>
    <col min="15626" max="15626" width="15.5703125" style="2" bestFit="1" customWidth="1"/>
    <col min="15627" max="15627" width="14.5703125" style="2" bestFit="1" customWidth="1"/>
    <col min="15628" max="15872" width="9.140625" style="2"/>
    <col min="15873" max="15873" width="9.7109375" style="2" customWidth="1"/>
    <col min="15874" max="15880" width="14.7109375" style="2" customWidth="1"/>
    <col min="15881" max="15881" width="9.140625" style="2"/>
    <col min="15882" max="15882" width="15.5703125" style="2" bestFit="1" customWidth="1"/>
    <col min="15883" max="15883" width="14.5703125" style="2" bestFit="1" customWidth="1"/>
    <col min="15884" max="16128" width="9.140625" style="2"/>
    <col min="16129" max="16129" width="9.7109375" style="2" customWidth="1"/>
    <col min="16130" max="16136" width="14.7109375" style="2" customWidth="1"/>
    <col min="16137" max="16137" width="9.140625" style="2"/>
    <col min="16138" max="16138" width="15.5703125" style="2" bestFit="1" customWidth="1"/>
    <col min="16139" max="16139" width="14.5703125" style="2" bestFit="1" customWidth="1"/>
    <col min="16140" max="16384" width="9.140625" style="2"/>
  </cols>
  <sheetData>
    <row r="1" spans="1:11" x14ac:dyDescent="0.2">
      <c r="A1" s="1" t="s">
        <v>29</v>
      </c>
    </row>
    <row r="2" spans="1:11" x14ac:dyDescent="0.2">
      <c r="A2" s="1" t="s">
        <v>30</v>
      </c>
    </row>
    <row r="3" spans="1:11" x14ac:dyDescent="0.2">
      <c r="A3" s="1" t="s">
        <v>31</v>
      </c>
    </row>
    <row r="7" spans="1:11" x14ac:dyDescent="0.2">
      <c r="A7" s="3"/>
      <c r="B7" s="3" t="s">
        <v>32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</row>
    <row r="8" spans="1:11" x14ac:dyDescent="0.2">
      <c r="A8" s="4" t="s">
        <v>38</v>
      </c>
      <c r="B8" s="4" t="s">
        <v>39</v>
      </c>
      <c r="C8" s="4" t="s">
        <v>40</v>
      </c>
      <c r="D8" s="4" t="s">
        <v>41</v>
      </c>
      <c r="E8" s="4" t="s">
        <v>37</v>
      </c>
      <c r="F8" s="4" t="s">
        <v>42</v>
      </c>
      <c r="G8" s="4" t="s">
        <v>43</v>
      </c>
      <c r="H8" s="4" t="s">
        <v>43</v>
      </c>
      <c r="J8" s="4" t="s">
        <v>44</v>
      </c>
      <c r="K8" s="4" t="s">
        <v>45</v>
      </c>
    </row>
    <row r="10" spans="1:11" ht="15" x14ac:dyDescent="0.25">
      <c r="A10" s="3" t="s">
        <v>46</v>
      </c>
      <c r="B10" s="22">
        <v>5265000</v>
      </c>
      <c r="C10" s="22"/>
      <c r="D10" s="22"/>
      <c r="E10" s="22"/>
      <c r="F10" s="22">
        <f>SUM(B10:E10)</f>
        <v>5265000</v>
      </c>
      <c r="G10" s="7"/>
      <c r="H10" s="7"/>
      <c r="J10" s="23">
        <f t="shared" ref="J10:J20" si="0">+F10-K10</f>
        <v>5265000</v>
      </c>
      <c r="K10" s="7">
        <f>+SUM($E$10:E10)-SUM($H$10:H10)</f>
        <v>0</v>
      </c>
    </row>
    <row r="11" spans="1:11" ht="15" x14ac:dyDescent="0.25">
      <c r="A11" s="3" t="s">
        <v>47</v>
      </c>
      <c r="B11" s="22">
        <v>3400000</v>
      </c>
      <c r="C11" s="22"/>
      <c r="D11" s="22"/>
      <c r="E11" s="22">
        <f>F10*0.0675*180/360</f>
        <v>177693.75</v>
      </c>
      <c r="F11" s="22">
        <f t="shared" ref="F11:F19" si="1">F10+SUM(B11:E11)</f>
        <v>8842693.75</v>
      </c>
      <c r="G11" s="7"/>
      <c r="H11" s="7"/>
      <c r="J11" s="23">
        <f>+F11-K11</f>
        <v>8665000</v>
      </c>
      <c r="K11" s="7">
        <f>+SUM($E$10:E11)-SUM($H$10:H11)</f>
        <v>177693.75</v>
      </c>
    </row>
    <row r="12" spans="1:11" ht="15" x14ac:dyDescent="0.25">
      <c r="A12" s="3" t="s">
        <v>48</v>
      </c>
      <c r="B12" s="22">
        <v>5205000</v>
      </c>
      <c r="C12" s="22">
        <v>400000</v>
      </c>
      <c r="D12" s="22"/>
      <c r="E12" s="22">
        <f>F11*0.0675*180/360</f>
        <v>298440.9140625</v>
      </c>
      <c r="F12" s="22">
        <f t="shared" si="1"/>
        <v>14746134.6640625</v>
      </c>
      <c r="G12" s="7"/>
      <c r="H12" s="7"/>
      <c r="J12" s="23">
        <f t="shared" si="0"/>
        <v>14270000</v>
      </c>
      <c r="K12" s="7">
        <f>+SUM($E$10:E12)-SUM($H$10:H12)</f>
        <v>476134.6640625</v>
      </c>
    </row>
    <row r="13" spans="1:11" ht="15" x14ac:dyDescent="0.25">
      <c r="A13" s="3" t="s">
        <v>49</v>
      </c>
      <c r="B13" s="22">
        <v>3465000</v>
      </c>
      <c r="C13" s="22"/>
      <c r="D13" s="22"/>
      <c r="E13" s="22">
        <f>F12*0.0675*180/360</f>
        <v>497682.04491210938</v>
      </c>
      <c r="F13" s="22">
        <f t="shared" si="1"/>
        <v>18708816.708974607</v>
      </c>
      <c r="G13" s="7"/>
      <c r="H13" s="7"/>
      <c r="J13" s="23">
        <f t="shared" si="0"/>
        <v>17734999.999999996</v>
      </c>
      <c r="K13" s="7">
        <f>+SUM($E$10:E13)-SUM($H$10:H13)</f>
        <v>973816.70897460938</v>
      </c>
    </row>
    <row r="14" spans="1:11" ht="15" x14ac:dyDescent="0.25">
      <c r="A14" s="3" t="s">
        <v>50</v>
      </c>
      <c r="B14" s="22"/>
      <c r="C14" s="22"/>
      <c r="D14" s="22">
        <v>-6000000</v>
      </c>
      <c r="E14" s="22">
        <f>F13*0.0675*98/360</f>
        <v>343774.50702740846</v>
      </c>
      <c r="F14" s="22">
        <f t="shared" si="1"/>
        <v>13052591.216002015</v>
      </c>
      <c r="G14" s="7">
        <f t="shared" ref="G14:G22" si="2">-D14-H14</f>
        <v>5585067.0800000001</v>
      </c>
      <c r="H14" s="7">
        <v>414932.92</v>
      </c>
      <c r="J14" s="23">
        <f t="shared" si="0"/>
        <v>12149932.919999998</v>
      </c>
      <c r="K14" s="7">
        <f>+SUM($E$10:E14)-SUM($H$10:H14)</f>
        <v>902658.2960020178</v>
      </c>
    </row>
    <row r="15" spans="1:11" ht="15" x14ac:dyDescent="0.25">
      <c r="A15" s="3" t="s">
        <v>51</v>
      </c>
      <c r="B15" s="22">
        <v>470000</v>
      </c>
      <c r="C15" s="22"/>
      <c r="D15" s="6">
        <v>-11069</v>
      </c>
      <c r="E15" s="22">
        <f>F14*0.0675*82/360</f>
        <v>200683.58994603099</v>
      </c>
      <c r="F15" s="22">
        <f t="shared" si="1"/>
        <v>13712205.805948047</v>
      </c>
      <c r="G15" s="7">
        <f t="shared" si="2"/>
        <v>9844.380000000001</v>
      </c>
      <c r="H15" s="7">
        <v>1224.6199999999999</v>
      </c>
      <c r="J15" s="23">
        <f t="shared" si="0"/>
        <v>12610088.539999999</v>
      </c>
      <c r="K15" s="7">
        <f>+SUM($E$10:E15)-SUM($H$10:H15)</f>
        <v>1102117.2659480488</v>
      </c>
    </row>
    <row r="16" spans="1:11" ht="15" x14ac:dyDescent="0.25">
      <c r="A16" s="3" t="s">
        <v>52</v>
      </c>
      <c r="B16" s="22">
        <v>530000</v>
      </c>
      <c r="C16" s="22"/>
      <c r="D16" s="6">
        <v>-11069</v>
      </c>
      <c r="E16" s="22">
        <f t="shared" ref="E16:E20" si="3">F15*0.0675*180/360</f>
        <v>462786.94595074659</v>
      </c>
      <c r="F16" s="22">
        <f t="shared" si="1"/>
        <v>14693923.751898794</v>
      </c>
      <c r="G16" s="7">
        <f t="shared" si="2"/>
        <v>9577.7800000000007</v>
      </c>
      <c r="H16" s="7">
        <v>1491.22</v>
      </c>
      <c r="J16" s="23">
        <f t="shared" si="0"/>
        <v>13130510.759999998</v>
      </c>
      <c r="K16" s="7">
        <f>+SUM($E$10:E16)-SUM($H$10:H16)</f>
        <v>1563412.9918987954</v>
      </c>
    </row>
    <row r="17" spans="1:11" ht="15" x14ac:dyDescent="0.25">
      <c r="A17" s="3" t="s">
        <v>53</v>
      </c>
      <c r="B17" s="22">
        <v>400000</v>
      </c>
      <c r="C17" s="22"/>
      <c r="D17" s="6">
        <v>-11069</v>
      </c>
      <c r="E17" s="22">
        <f t="shared" si="3"/>
        <v>495919.92662658438</v>
      </c>
      <c r="F17" s="22">
        <f t="shared" si="1"/>
        <v>15578774.678525377</v>
      </c>
      <c r="G17" s="7">
        <f t="shared" si="2"/>
        <v>9310.31</v>
      </c>
      <c r="H17" s="7">
        <v>1758.69</v>
      </c>
      <c r="J17" s="23">
        <f t="shared" si="0"/>
        <v>13521200.449999997</v>
      </c>
      <c r="K17" s="7">
        <f>+SUM($E$10:E17)-SUM($H$10:H17)</f>
        <v>2057574.2285253799</v>
      </c>
    </row>
    <row r="18" spans="1:11" ht="15" x14ac:dyDescent="0.25">
      <c r="A18" s="3" t="s">
        <v>54</v>
      </c>
      <c r="B18" s="22">
        <v>600000</v>
      </c>
      <c r="C18" s="22"/>
      <c r="D18" s="6">
        <v>-11069</v>
      </c>
      <c r="E18" s="22">
        <f t="shared" si="3"/>
        <v>525783.64540023147</v>
      </c>
      <c r="F18" s="22">
        <f t="shared" si="1"/>
        <v>16693489.323925609</v>
      </c>
      <c r="G18" s="7">
        <f t="shared" si="2"/>
        <v>9079.27</v>
      </c>
      <c r="H18" s="7">
        <v>1989.73</v>
      </c>
      <c r="J18" s="23">
        <f t="shared" si="0"/>
        <v>14112121.179999996</v>
      </c>
      <c r="K18" s="7">
        <f>+SUM($E$10:E18)-SUM($H$10:H18)</f>
        <v>2581368.1439256119</v>
      </c>
    </row>
    <row r="19" spans="1:11" ht="15" x14ac:dyDescent="0.25">
      <c r="A19" s="3" t="s">
        <v>55</v>
      </c>
      <c r="B19" s="22">
        <v>325000</v>
      </c>
      <c r="C19" s="22"/>
      <c r="D19" s="6">
        <v>-11069</v>
      </c>
      <c r="E19" s="22">
        <f t="shared" si="3"/>
        <v>563405.26468248933</v>
      </c>
      <c r="F19" s="22">
        <f t="shared" si="1"/>
        <v>17570825.588608097</v>
      </c>
      <c r="G19" s="7">
        <f t="shared" si="2"/>
        <v>8823.85</v>
      </c>
      <c r="H19" s="7">
        <v>2245.15</v>
      </c>
      <c r="J19" s="23">
        <f t="shared" si="0"/>
        <v>14428297.329999996</v>
      </c>
      <c r="K19" s="7">
        <f>+SUM($E$10:E19)-SUM($H$10:H19)</f>
        <v>3142528.2586081009</v>
      </c>
    </row>
    <row r="20" spans="1:11" ht="15" x14ac:dyDescent="0.25">
      <c r="A20" s="3" t="s">
        <v>56</v>
      </c>
      <c r="B20" s="22">
        <v>675000</v>
      </c>
      <c r="C20" s="22"/>
      <c r="D20" s="6">
        <v>-11069</v>
      </c>
      <c r="E20" s="22">
        <f t="shared" si="3"/>
        <v>593015.36361552333</v>
      </c>
      <c r="F20" s="24">
        <f>F19+SUM(B20:E20)</f>
        <v>18827771.952223621</v>
      </c>
      <c r="G20" s="7">
        <f t="shared" si="2"/>
        <v>8625.2199999999993</v>
      </c>
      <c r="H20" s="7">
        <v>2443.7800000000002</v>
      </c>
      <c r="J20" s="23">
        <f t="shared" si="0"/>
        <v>15094672.109999998</v>
      </c>
      <c r="K20" s="7">
        <f>+SUM($E$10:E20)-SUM($H$10:H20)</f>
        <v>3733099.8422236242</v>
      </c>
    </row>
    <row r="21" spans="1:11" ht="15" x14ac:dyDescent="0.25">
      <c r="A21" s="3" t="s">
        <v>57</v>
      </c>
      <c r="B21" s="22">
        <v>250000</v>
      </c>
      <c r="C21" s="22"/>
      <c r="D21" s="6">
        <v>-11069</v>
      </c>
      <c r="E21" s="22">
        <f>F20*0.0675*180/360</f>
        <v>635437.30338754726</v>
      </c>
      <c r="F21" s="22">
        <f>F20+SUM(B21:E21)</f>
        <v>19702140.25561117</v>
      </c>
      <c r="G21" s="7">
        <f t="shared" si="2"/>
        <v>8376.81</v>
      </c>
      <c r="H21" s="7">
        <v>2692.19</v>
      </c>
      <c r="J21" s="23">
        <f>+F21-K21</f>
        <v>15336295.299999999</v>
      </c>
      <c r="K21" s="7">
        <f>+SUM($E$10:E21)-SUM($H$10:H21)</f>
        <v>4365844.9556111712</v>
      </c>
    </row>
    <row r="22" spans="1:11" ht="12" customHeight="1" x14ac:dyDescent="0.25">
      <c r="A22" s="3" t="s">
        <v>58</v>
      </c>
      <c r="B22" s="22"/>
      <c r="C22" s="22"/>
      <c r="D22" s="6">
        <v>-11069</v>
      </c>
      <c r="E22" s="22">
        <f>F21*0.0675*180/360</f>
        <v>664947.23362687707</v>
      </c>
      <c r="F22" s="25">
        <f>F21+SUM(B22:E22)</f>
        <v>20356018.489238046</v>
      </c>
      <c r="G22" s="7">
        <f t="shared" si="2"/>
        <v>8101.8600000000006</v>
      </c>
      <c r="H22" s="7">
        <v>2967.14</v>
      </c>
      <c r="J22" s="7">
        <v>15328193.439999999</v>
      </c>
      <c r="K22" s="7">
        <f>+SUM($E$10:E22)-SUM($H$10:H22)</f>
        <v>5027825.0492380476</v>
      </c>
    </row>
    <row r="23" spans="1:11" s="29" customFormat="1" ht="12" customHeight="1" x14ac:dyDescent="0.25">
      <c r="A23" s="26">
        <f>+A21+365</f>
        <v>43174</v>
      </c>
      <c r="B23" s="24"/>
      <c r="C23" s="24"/>
      <c r="D23" s="27"/>
      <c r="E23" s="22">
        <f t="shared" ref="E23:E34" si="4">F22*0.0675*180/360</f>
        <v>687015.62401178409</v>
      </c>
      <c r="F23" s="24">
        <f t="shared" ref="F23:F34" si="5">F22+SUM(B23:E23)</f>
        <v>21043034.113249831</v>
      </c>
      <c r="G23" s="28"/>
      <c r="H23" s="28"/>
      <c r="J23" s="23">
        <f>+F23-K23</f>
        <v>15328193.439999999</v>
      </c>
      <c r="K23" s="7">
        <f>+SUM($E$10:E23)-SUM($H$10:H23)</f>
        <v>5714840.6732498314</v>
      </c>
    </row>
    <row r="24" spans="1:11" s="29" customFormat="1" ht="12" customHeight="1" x14ac:dyDescent="0.25">
      <c r="A24" s="26">
        <f t="shared" ref="A24:A34" si="6">+A22+365</f>
        <v>43358</v>
      </c>
      <c r="B24" s="24"/>
      <c r="C24" s="24"/>
      <c r="D24" s="27"/>
      <c r="E24" s="22">
        <f t="shared" si="4"/>
        <v>710202.4013221818</v>
      </c>
      <c r="F24" s="24">
        <f t="shared" si="5"/>
        <v>21753236.514572013</v>
      </c>
      <c r="G24" s="28"/>
      <c r="H24" s="28"/>
      <c r="J24" s="23">
        <f t="shared" ref="J24:J34" si="7">+F24-K24</f>
        <v>15328193.440000001</v>
      </c>
      <c r="K24" s="7">
        <f>+SUM($E$10:E24)-SUM($H$10:H24)</f>
        <v>6425043.0745720128</v>
      </c>
    </row>
    <row r="25" spans="1:11" s="29" customFormat="1" ht="12" customHeight="1" x14ac:dyDescent="0.25">
      <c r="A25" s="26">
        <f t="shared" si="6"/>
        <v>43539</v>
      </c>
      <c r="B25" s="24"/>
      <c r="C25" s="24"/>
      <c r="D25" s="27"/>
      <c r="E25" s="22">
        <f>F24*0.0675*180/360</f>
        <v>734171.73236680555</v>
      </c>
      <c r="F25" s="24">
        <f t="shared" si="5"/>
        <v>22487408.246938817</v>
      </c>
      <c r="G25" s="28"/>
      <c r="H25" s="28"/>
      <c r="J25" s="23">
        <f t="shared" si="7"/>
        <v>15328193.439999998</v>
      </c>
      <c r="K25" s="7">
        <f>+SUM($E$10:E25)-SUM($H$10:H25)</f>
        <v>7159214.8069388187</v>
      </c>
    </row>
    <row r="26" spans="1:11" s="29" customFormat="1" ht="12" customHeight="1" x14ac:dyDescent="0.25">
      <c r="A26" s="26">
        <f t="shared" si="6"/>
        <v>43723</v>
      </c>
      <c r="B26" s="24"/>
      <c r="C26" s="24"/>
      <c r="D26" s="27"/>
      <c r="E26" s="22">
        <f t="shared" si="4"/>
        <v>758950.02833418513</v>
      </c>
      <c r="F26" s="24">
        <f t="shared" si="5"/>
        <v>23246358.275273003</v>
      </c>
      <c r="G26" s="28"/>
      <c r="H26" s="28"/>
      <c r="J26" s="23">
        <f t="shared" si="7"/>
        <v>15328193.439999998</v>
      </c>
      <c r="K26" s="7">
        <f>+SUM($E$10:E26)-SUM($H$10:H26)</f>
        <v>7918164.8352730041</v>
      </c>
    </row>
    <row r="27" spans="1:11" s="29" customFormat="1" ht="12" customHeight="1" x14ac:dyDescent="0.25">
      <c r="A27" s="26">
        <f t="shared" si="6"/>
        <v>43904</v>
      </c>
      <c r="B27" s="24"/>
      <c r="C27" s="24"/>
      <c r="D27" s="27"/>
      <c r="E27" s="22">
        <f t="shared" si="4"/>
        <v>784564.59179046389</v>
      </c>
      <c r="F27" s="24">
        <f>F26+SUM(B27:E27)</f>
        <v>24030922.867063466</v>
      </c>
      <c r="G27" s="28"/>
      <c r="H27" s="28"/>
      <c r="J27" s="23">
        <f t="shared" si="7"/>
        <v>15328193.439999998</v>
      </c>
      <c r="K27" s="7">
        <f>+SUM($E$10:E27)-SUM($H$10:H27)</f>
        <v>8702729.4270634688</v>
      </c>
    </row>
    <row r="28" spans="1:11" s="29" customFormat="1" ht="12" customHeight="1" x14ac:dyDescent="0.25">
      <c r="A28" s="26">
        <f t="shared" si="6"/>
        <v>44088</v>
      </c>
      <c r="B28" s="24"/>
      <c r="C28" s="24"/>
      <c r="D28" s="27"/>
      <c r="E28" s="22">
        <f t="shared" si="4"/>
        <v>811043.64676339191</v>
      </c>
      <c r="F28" s="24">
        <f t="shared" si="5"/>
        <v>24841966.513826858</v>
      </c>
      <c r="G28" s="28"/>
      <c r="H28" s="28"/>
      <c r="J28" s="23">
        <f t="shared" si="7"/>
        <v>15328193.439999998</v>
      </c>
      <c r="K28" s="7">
        <f>+SUM($E$10:E28)-SUM($H$10:H28)</f>
        <v>9513773.0738268606</v>
      </c>
    </row>
    <row r="29" spans="1:11" s="29" customFormat="1" ht="12" customHeight="1" x14ac:dyDescent="0.25">
      <c r="A29" s="26">
        <f t="shared" si="6"/>
        <v>44269</v>
      </c>
      <c r="B29" s="24"/>
      <c r="C29" s="24"/>
      <c r="D29" s="27"/>
      <c r="E29" s="22">
        <f t="shared" si="4"/>
        <v>838416.36984165653</v>
      </c>
      <c r="F29" s="24">
        <f t="shared" si="5"/>
        <v>25680382.883668516</v>
      </c>
      <c r="G29" s="28"/>
      <c r="H29" s="28"/>
      <c r="J29" s="23">
        <f t="shared" si="7"/>
        <v>15328193.439999999</v>
      </c>
      <c r="K29" s="7">
        <f>+SUM($E$10:E29)-SUM($H$10:H29)</f>
        <v>10352189.443668516</v>
      </c>
    </row>
    <row r="30" spans="1:11" s="29" customFormat="1" ht="12" customHeight="1" x14ac:dyDescent="0.25">
      <c r="A30" s="26">
        <f t="shared" si="6"/>
        <v>44453</v>
      </c>
      <c r="B30" s="24"/>
      <c r="C30" s="24"/>
      <c r="D30" s="27"/>
      <c r="E30" s="22">
        <f t="shared" si="4"/>
        <v>866712.9223238125</v>
      </c>
      <c r="F30" s="24">
        <f t="shared" si="5"/>
        <v>26547095.805992328</v>
      </c>
      <c r="G30" s="28"/>
      <c r="H30" s="28"/>
      <c r="J30" s="23">
        <f t="shared" si="7"/>
        <v>15328193.439999999</v>
      </c>
      <c r="K30" s="7">
        <f>+SUM($E$10:E30)-SUM($H$10:H30)</f>
        <v>11218902.365992328</v>
      </c>
    </row>
    <row r="31" spans="1:11" s="29" customFormat="1" ht="12" customHeight="1" x14ac:dyDescent="0.25">
      <c r="A31" s="26">
        <f t="shared" si="6"/>
        <v>44634</v>
      </c>
      <c r="B31" s="24"/>
      <c r="C31" s="24"/>
      <c r="D31" s="27"/>
      <c r="E31" s="22">
        <f t="shared" si="4"/>
        <v>895964.48345224117</v>
      </c>
      <c r="F31" s="24">
        <f t="shared" si="5"/>
        <v>27443060.289444569</v>
      </c>
      <c r="G31" s="28"/>
      <c r="H31" s="28"/>
      <c r="J31" s="23">
        <f t="shared" si="7"/>
        <v>15328193.439999999</v>
      </c>
      <c r="K31" s="7">
        <f>+SUM($E$10:E31)-SUM($H$10:H31)</f>
        <v>12114866.84944457</v>
      </c>
    </row>
    <row r="32" spans="1:11" s="29" customFormat="1" ht="12" customHeight="1" x14ac:dyDescent="0.25">
      <c r="A32" s="26">
        <f t="shared" si="6"/>
        <v>44818</v>
      </c>
      <c r="B32" s="24"/>
      <c r="C32" s="24"/>
      <c r="D32" s="27"/>
      <c r="E32" s="22">
        <f t="shared" si="4"/>
        <v>926203.28476875427</v>
      </c>
      <c r="F32" s="24">
        <f t="shared" si="5"/>
        <v>28369263.574213322</v>
      </c>
      <c r="G32" s="28"/>
      <c r="H32" s="28"/>
      <c r="J32" s="23">
        <f t="shared" si="7"/>
        <v>15328193.439999998</v>
      </c>
      <c r="K32" s="7">
        <f>+SUM($E$10:E32)-SUM($H$10:H32)</f>
        <v>13041070.134213325</v>
      </c>
    </row>
    <row r="33" spans="1:11" s="29" customFormat="1" ht="12" customHeight="1" x14ac:dyDescent="0.25">
      <c r="A33" s="26">
        <f t="shared" si="6"/>
        <v>44999</v>
      </c>
      <c r="B33" s="24"/>
      <c r="C33" s="24"/>
      <c r="D33" s="27"/>
      <c r="E33" s="22">
        <f t="shared" si="4"/>
        <v>957462.64562969969</v>
      </c>
      <c r="F33" s="24">
        <f t="shared" si="5"/>
        <v>29326726.219843023</v>
      </c>
      <c r="G33" s="28"/>
      <c r="H33" s="28"/>
      <c r="J33" s="23">
        <f t="shared" si="7"/>
        <v>15328193.439999998</v>
      </c>
      <c r="K33" s="7">
        <f>+SUM($E$10:E33)-SUM($H$10:H33)</f>
        <v>13998532.779843025</v>
      </c>
    </row>
    <row r="34" spans="1:11" s="29" customFormat="1" ht="12" customHeight="1" x14ac:dyDescent="0.25">
      <c r="A34" s="26">
        <f t="shared" si="6"/>
        <v>45183</v>
      </c>
      <c r="B34" s="24"/>
      <c r="C34" s="24"/>
      <c r="D34" s="27"/>
      <c r="E34" s="22">
        <f t="shared" si="4"/>
        <v>989777.00991970196</v>
      </c>
      <c r="F34" s="24">
        <f t="shared" si="5"/>
        <v>30316503.229762726</v>
      </c>
      <c r="G34" s="28"/>
      <c r="H34" s="28"/>
      <c r="J34" s="23">
        <f t="shared" si="7"/>
        <v>15328193.439999999</v>
      </c>
      <c r="K34" s="7">
        <f>+SUM($E$10:E34)-SUM($H$10:H34)</f>
        <v>14988309.789762726</v>
      </c>
    </row>
    <row r="35" spans="1:11" ht="15" x14ac:dyDescent="0.25">
      <c r="A35" s="3"/>
      <c r="B35" s="22"/>
      <c r="C35" s="22"/>
      <c r="D35" s="22"/>
      <c r="E35" s="22"/>
      <c r="F35" s="24"/>
      <c r="G35" s="7"/>
      <c r="H35" s="7"/>
    </row>
    <row r="36" spans="1:11" x14ac:dyDescent="0.2">
      <c r="A36" s="3" t="s">
        <v>16</v>
      </c>
      <c r="B36" s="22">
        <f>SUM(B10:B35)</f>
        <v>20585000</v>
      </c>
      <c r="C36" s="22">
        <f>SUM(C10:C35)</f>
        <v>400000</v>
      </c>
      <c r="D36" s="22">
        <f>SUM(D10:D35)</f>
        <v>-6088552</v>
      </c>
      <c r="E36" s="22">
        <f>SUM(E10:E35)</f>
        <v>15420055.229762726</v>
      </c>
      <c r="F36" s="22"/>
      <c r="G36" s="22">
        <f>SUM(G10:G35)</f>
        <v>5656806.5599999987</v>
      </c>
      <c r="H36" s="22">
        <f>SUM(H10:H35)</f>
        <v>431745.44</v>
      </c>
    </row>
    <row r="37" spans="1:11" x14ac:dyDescent="0.2">
      <c r="A37" s="3"/>
      <c r="B37" s="22"/>
      <c r="C37" s="22"/>
      <c r="D37" s="22"/>
      <c r="E37" s="22"/>
      <c r="F37" s="22"/>
    </row>
    <row r="38" spans="1:11" x14ac:dyDescent="0.2">
      <c r="A38" s="3"/>
      <c r="B38" s="22"/>
      <c r="C38" s="22"/>
      <c r="D38" s="22"/>
      <c r="E38" s="22"/>
      <c r="F38" s="22"/>
    </row>
    <row r="39" spans="1:11" x14ac:dyDescent="0.2">
      <c r="A39" s="30"/>
      <c r="B39" s="22"/>
      <c r="C39" s="22"/>
      <c r="D39" s="22"/>
      <c r="E39" s="22"/>
      <c r="F39" s="22"/>
    </row>
    <row r="40" spans="1:11" x14ac:dyDescent="0.2">
      <c r="A40" s="30"/>
      <c r="B40" s="22"/>
      <c r="C40" s="22"/>
      <c r="D40" s="22"/>
      <c r="E40" s="22"/>
      <c r="F40" s="22"/>
    </row>
    <row r="41" spans="1:11" x14ac:dyDescent="0.2">
      <c r="A41" s="30" t="s">
        <v>59</v>
      </c>
      <c r="B41" s="22"/>
      <c r="C41" s="22"/>
      <c r="D41" s="22"/>
      <c r="E41" s="22"/>
      <c r="F41" s="22"/>
    </row>
    <row r="42" spans="1:11" x14ac:dyDescent="0.2">
      <c r="A42" s="3"/>
      <c r="B42" s="22"/>
      <c r="C42" s="22"/>
      <c r="D42" s="22"/>
      <c r="E42" s="22"/>
      <c r="F42" s="22"/>
    </row>
    <row r="43" spans="1:11" x14ac:dyDescent="0.2">
      <c r="A43" s="30"/>
      <c r="B43" s="22"/>
      <c r="C43" s="22"/>
      <c r="D43" s="22"/>
      <c r="E43" s="22"/>
      <c r="F43" s="22"/>
    </row>
    <row r="44" spans="1:11" x14ac:dyDescent="0.2">
      <c r="A44" s="30"/>
      <c r="B44" s="22"/>
      <c r="C44" s="22"/>
      <c r="D44" s="22"/>
      <c r="E44" s="22"/>
      <c r="F44" s="22"/>
    </row>
    <row r="45" spans="1:11" x14ac:dyDescent="0.2">
      <c r="A45" s="30"/>
      <c r="B45" s="22"/>
      <c r="C45" s="22"/>
      <c r="D45" s="22"/>
      <c r="E45" s="22"/>
      <c r="F45" s="22"/>
    </row>
    <row r="46" spans="1:11" x14ac:dyDescent="0.2">
      <c r="A46" s="30"/>
      <c r="B46" s="22"/>
      <c r="C46" s="22"/>
      <c r="D46" s="22"/>
      <c r="E46" s="22"/>
      <c r="F46" s="22"/>
    </row>
    <row r="47" spans="1:11" x14ac:dyDescent="0.2">
      <c r="A47" s="30"/>
      <c r="B47" s="22"/>
      <c r="C47" s="22"/>
      <c r="D47" s="22"/>
      <c r="E47" s="22"/>
      <c r="F47" s="22"/>
    </row>
    <row r="48" spans="1:11" x14ac:dyDescent="0.2">
      <c r="A48" s="30"/>
      <c r="B48" s="22"/>
      <c r="C48" s="22"/>
      <c r="D48" s="22"/>
      <c r="E48" s="22"/>
      <c r="F48" s="22"/>
    </row>
    <row r="49" spans="1:6" x14ac:dyDescent="0.2">
      <c r="A49" s="30"/>
      <c r="B49" s="22"/>
      <c r="C49" s="22"/>
      <c r="D49" s="22"/>
      <c r="E49" s="22"/>
      <c r="F49" s="22"/>
    </row>
    <row r="50" spans="1:6" x14ac:dyDescent="0.2">
      <c r="A50" s="30"/>
      <c r="B50" s="22"/>
      <c r="C50" s="22"/>
      <c r="D50" s="22"/>
      <c r="E50" s="22"/>
      <c r="F50" s="22"/>
    </row>
    <row r="51" spans="1:6" x14ac:dyDescent="0.2">
      <c r="A51" s="3"/>
      <c r="B51" s="22"/>
      <c r="C51" s="22"/>
      <c r="D51" s="22"/>
      <c r="E51" s="22"/>
      <c r="F51" s="22"/>
    </row>
    <row r="52" spans="1:6" x14ac:dyDescent="0.2">
      <c r="A52" s="3"/>
      <c r="B52" s="22"/>
      <c r="C52" s="22"/>
      <c r="D52" s="22"/>
      <c r="E52" s="22"/>
      <c r="F52" s="22"/>
    </row>
    <row r="53" spans="1:6" x14ac:dyDescent="0.2">
      <c r="A53" s="3"/>
      <c r="B53" s="22"/>
      <c r="C53" s="22"/>
      <c r="D53" s="22"/>
      <c r="E53" s="22"/>
      <c r="F53" s="22"/>
    </row>
    <row r="54" spans="1:6" x14ac:dyDescent="0.2">
      <c r="A54" s="3"/>
      <c r="B54" s="22"/>
      <c r="C54" s="22"/>
      <c r="D54" s="22"/>
      <c r="E54" s="22"/>
      <c r="F54" s="22"/>
    </row>
    <row r="55" spans="1:6" x14ac:dyDescent="0.2">
      <c r="A55" s="3"/>
      <c r="B55" s="22"/>
      <c r="C55" s="22"/>
      <c r="D55" s="22"/>
      <c r="E55" s="22"/>
      <c r="F55" s="22"/>
    </row>
    <row r="56" spans="1:6" x14ac:dyDescent="0.2">
      <c r="A56" s="3"/>
      <c r="B56" s="22"/>
      <c r="C56" s="22"/>
      <c r="D56" s="22"/>
      <c r="E56" s="22"/>
      <c r="F56" s="22"/>
    </row>
  </sheetData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Debt Service</vt:lpstr>
      <vt:lpstr>re-work at 6.75%</vt:lpstr>
      <vt:lpstr>'Debt Service'!Print_Area</vt:lpstr>
      <vt:lpstr>'re-work at 6.75%'!Print_Area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Regalado, Erika S.</dc:creator>
  <cp:lastModifiedBy>Weber, Bruce</cp:lastModifiedBy>
  <cp:lastPrinted>2018-07-17T13:52:12Z</cp:lastPrinted>
  <dcterms:created xsi:type="dcterms:W3CDTF">2018-03-09T15:16:45Z</dcterms:created>
  <dcterms:modified xsi:type="dcterms:W3CDTF">2018-07-17T21:30:40Z</dcterms:modified>
</cp:coreProperties>
</file>